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workbookProtection workbookPassword="C721" lockStructure="1"/>
  <bookViews>
    <workbookView xWindow="120" yWindow="120" windowWidth="28515" windowHeight="14370"/>
  </bookViews>
  <sheets>
    <sheet name="Patrizier" sheetId="1" r:id="rId1"/>
    <sheet name="Betriebe" sheetId="2" r:id="rId2"/>
  </sheets>
  <definedNames>
    <definedName name="April">#REF!</definedName>
    <definedName name="August">#REF!</definedName>
    <definedName name="Dezember">#REF!</definedName>
    <definedName name="Februar">#REF!</definedName>
    <definedName name="Januar">#REF!</definedName>
    <definedName name="Juli">#REF!</definedName>
    <definedName name="Juni">#REF!</definedName>
    <definedName name="Mai">#REF!</definedName>
    <definedName name="März">#REF!</definedName>
    <definedName name="November">#REF!</definedName>
    <definedName name="Oktober">#REF!</definedName>
    <definedName name="September">#REF!</definedName>
    <definedName name="test1">#REF!</definedName>
  </definedNames>
  <calcPr calcId="145621"/>
</workbook>
</file>

<file path=xl/calcChain.xml><?xml version="1.0" encoding="utf-8"?>
<calcChain xmlns="http://schemas.openxmlformats.org/spreadsheetml/2006/main">
  <c r="AH5" i="2" l="1"/>
  <c r="T24" i="1" s="1"/>
  <c r="AH16" i="2" l="1"/>
  <c r="C22" i="2"/>
  <c r="AF5" i="2"/>
  <c r="T13" i="1" s="1"/>
  <c r="AF17" i="2"/>
  <c r="T25" i="1" s="1"/>
  <c r="AF18" i="2"/>
  <c r="T26" i="1" s="1"/>
  <c r="AF19" i="2"/>
  <c r="T11" i="1" s="1"/>
  <c r="AF20" i="2"/>
  <c r="T28" i="1" s="1"/>
  <c r="AF16" i="2"/>
  <c r="T14" i="1" s="1"/>
  <c r="AF8" i="2"/>
  <c r="T17" i="1" s="1"/>
  <c r="AF9" i="2"/>
  <c r="T19" i="1" s="1"/>
  <c r="AF10" i="2"/>
  <c r="T12" i="1" s="1"/>
  <c r="AF11" i="2"/>
  <c r="T22" i="1" s="1"/>
  <c r="AF12" i="2"/>
  <c r="T18" i="1" s="1"/>
  <c r="AF13" i="2"/>
  <c r="T27" i="1" s="1"/>
  <c r="AF14" i="2"/>
  <c r="T23" i="1" s="1"/>
  <c r="AF15" i="2"/>
  <c r="T20" i="1" s="1"/>
  <c r="AF7" i="2"/>
  <c r="T15" i="1" s="1"/>
  <c r="AF4" i="2"/>
  <c r="T10" i="1" s="1"/>
  <c r="AF3" i="2"/>
  <c r="T9" i="1" s="1"/>
  <c r="T21" i="1" l="1"/>
  <c r="AN25" i="2"/>
  <c r="AD5" i="2"/>
  <c r="AC5" i="2"/>
  <c r="AB5" i="2"/>
  <c r="AA5" i="2" l="1"/>
  <c r="AE5" i="2"/>
  <c r="L5" i="2" l="1"/>
  <c r="R5" i="2"/>
  <c r="R28" i="1" l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L10" i="2" l="1"/>
  <c r="S28" i="1" l="1"/>
  <c r="S26" i="1"/>
  <c r="S25" i="1"/>
  <c r="S24" i="1"/>
  <c r="S22" i="1"/>
  <c r="S21" i="1"/>
  <c r="S20" i="1"/>
  <c r="S19" i="1"/>
  <c r="S16" i="1"/>
  <c r="S14" i="1"/>
  <c r="S12" i="1"/>
  <c r="S13" i="1"/>
  <c r="S9" i="1"/>
  <c r="V22" i="2"/>
  <c r="S27" i="1" s="1"/>
  <c r="R22" i="2"/>
  <c r="S23" i="1" s="1"/>
  <c r="M22" i="2"/>
  <c r="S18" i="1" s="1"/>
  <c r="L22" i="2"/>
  <c r="S17" i="1" s="1"/>
  <c r="J22" i="2"/>
  <c r="S15" i="1" s="1"/>
  <c r="F22" i="2"/>
  <c r="S11" i="1" s="1"/>
  <c r="E22" i="2"/>
  <c r="S10" i="1" s="1"/>
  <c r="I9" i="1"/>
  <c r="I10" i="1"/>
  <c r="I11" i="1"/>
  <c r="D12" i="1"/>
  <c r="E9" i="1" s="1"/>
  <c r="E16" i="1"/>
  <c r="E17" i="1" s="1"/>
  <c r="N17" i="1" l="1"/>
  <c r="P9" i="1"/>
  <c r="N16" i="1"/>
  <c r="U16" i="1" s="1"/>
  <c r="P28" i="1"/>
  <c r="N15" i="1"/>
  <c r="P27" i="1"/>
  <c r="N14" i="1"/>
  <c r="P26" i="1"/>
  <c r="N13" i="1"/>
  <c r="P25" i="1"/>
  <c r="N12" i="1"/>
  <c r="N11" i="1"/>
  <c r="N10" i="1"/>
  <c r="P21" i="1"/>
  <c r="P20" i="1"/>
  <c r="P18" i="1"/>
  <c r="P16" i="1"/>
  <c r="P14" i="1"/>
  <c r="P13" i="1"/>
  <c r="P10" i="1"/>
  <c r="N26" i="1"/>
  <c r="N20" i="1"/>
  <c r="P19" i="1"/>
  <c r="N21" i="1"/>
  <c r="N9" i="1"/>
  <c r="N28" i="1"/>
  <c r="N23" i="1"/>
  <c r="N24" i="1"/>
  <c r="P23" i="1"/>
  <c r="P17" i="1"/>
  <c r="P15" i="1"/>
  <c r="P11" i="1"/>
  <c r="N27" i="1"/>
  <c r="N22" i="1"/>
  <c r="P22" i="1"/>
  <c r="P12" i="1"/>
  <c r="N25" i="1"/>
  <c r="N19" i="1"/>
  <c r="P24" i="1"/>
  <c r="N18" i="1"/>
  <c r="I12" i="1"/>
  <c r="E11" i="1"/>
  <c r="E10" i="1"/>
  <c r="U21" i="1" l="1"/>
  <c r="U11" i="1"/>
  <c r="U19" i="1"/>
  <c r="U22" i="1"/>
  <c r="U26" i="1"/>
  <c r="U28" i="1"/>
  <c r="U17" i="1"/>
  <c r="U15" i="1"/>
  <c r="U20" i="1"/>
  <c r="U9" i="1"/>
  <c r="U12" i="1"/>
  <c r="U10" i="1"/>
  <c r="U18" i="1"/>
  <c r="U25" i="1"/>
  <c r="U14" i="1"/>
  <c r="U13" i="1"/>
  <c r="U23" i="1"/>
  <c r="U27" i="1"/>
  <c r="U24" i="1"/>
  <c r="U36" i="1" l="1"/>
  <c r="U35" i="1"/>
  <c r="U30" i="1"/>
  <c r="U31" i="1"/>
  <c r="U37" i="1" l="1"/>
  <c r="U32" i="1"/>
  <c r="H28" i="1" l="1"/>
  <c r="H27" i="1"/>
  <c r="H26" i="1"/>
</calcChain>
</file>

<file path=xl/comments1.xml><?xml version="1.0" encoding="utf-8"?>
<comments xmlns="http://schemas.openxmlformats.org/spreadsheetml/2006/main">
  <authors>
    <author>Granzow, Felix (K-SC/A2MOB3)</author>
  </authors>
  <commentList>
    <comment ref="V7" authorId="0">
      <text>
        <r>
          <rPr>
            <sz val="9"/>
            <color indexed="81"/>
            <rFont val="Tahoma"/>
            <family val="2"/>
          </rPr>
          <t>Wöchentlicher Bedarf für 1000 Einwohner laut Tippsammlung</t>
        </r>
      </text>
    </comment>
    <comment ref="D14" authorId="0">
      <text>
        <r>
          <rPr>
            <sz val="9"/>
            <color indexed="81"/>
            <rFont val="Tahoma"/>
            <family val="2"/>
          </rPr>
          <t xml:space="preserve">z.B. nur Hinfahrt </t>
        </r>
      </text>
    </comment>
    <comment ref="D15" authorId="0">
      <text>
        <r>
          <rPr>
            <sz val="9"/>
            <color indexed="81"/>
            <rFont val="Tahoma"/>
            <family val="2"/>
          </rPr>
          <t>Für Be- und Entladungszeiten, Reparaturen etc.</t>
        </r>
      </text>
    </comment>
    <comment ref="U30" authorId="0">
      <text>
        <r>
          <rPr>
            <sz val="9"/>
            <color indexed="81"/>
            <rFont val="Tahoma"/>
            <family val="2"/>
          </rPr>
          <t>Bedarf, wenn lokale Produktion nicht höher als Verbrauch ist (Lastwaren)</t>
        </r>
      </text>
    </comment>
    <comment ref="U31" authorId="0">
      <text>
        <r>
          <rPr>
            <sz val="9"/>
            <color indexed="81"/>
            <rFont val="Tahoma"/>
            <family val="2"/>
          </rPr>
          <t>Bedarf, wenn lokale Produktion nicht höher als Verbrauch ist (Fasswaren)</t>
        </r>
      </text>
    </comment>
  </commentList>
</comments>
</file>

<file path=xl/comments2.xml><?xml version="1.0" encoding="utf-8"?>
<comments xmlns="http://schemas.openxmlformats.org/spreadsheetml/2006/main">
  <authors>
    <author>Granzow, Felix (K-SC/A2MOB3)</author>
  </authors>
  <commentList>
    <comment ref="A5" authorId="0">
      <text>
        <r>
          <rPr>
            <b/>
            <sz val="9"/>
            <color indexed="81"/>
            <rFont val="Tahoma"/>
            <charset val="1"/>
          </rPr>
          <t>Fischerhütte oder Walfangbetrieb?</t>
        </r>
      </text>
    </comment>
  </commentList>
</comments>
</file>

<file path=xl/sharedStrings.xml><?xml version="1.0" encoding="utf-8"?>
<sst xmlns="http://schemas.openxmlformats.org/spreadsheetml/2006/main" count="144" uniqueCount="98">
  <si>
    <t>Holk</t>
  </si>
  <si>
    <t>Koggen</t>
  </si>
  <si>
    <t>Kraier</t>
  </si>
  <si>
    <t>Schiffskapazität</t>
  </si>
  <si>
    <t>Lasten-Puffer (in %):</t>
  </si>
  <si>
    <t>Last</t>
  </si>
  <si>
    <t>Gesamt</t>
  </si>
  <si>
    <t>Fass</t>
  </si>
  <si>
    <t>Ziegel</t>
  </si>
  <si>
    <t>Wolle</t>
  </si>
  <si>
    <t>Wein</t>
  </si>
  <si>
    <t>Tuch</t>
  </si>
  <si>
    <t>Tran</t>
  </si>
  <si>
    <t>Salz</t>
  </si>
  <si>
    <t>Pech</t>
  </si>
  <si>
    <t>Leder</t>
  </si>
  <si>
    <t>Keramik</t>
  </si>
  <si>
    <t>Honig</t>
  </si>
  <si>
    <t>Holz</t>
  </si>
  <si>
    <t>Hanf</t>
  </si>
  <si>
    <t>Gewürze</t>
  </si>
  <si>
    <t>Getreide</t>
  </si>
  <si>
    <t>Fleisch</t>
  </si>
  <si>
    <t>Fisch</t>
  </si>
  <si>
    <t>Felle</t>
  </si>
  <si>
    <t>Eisenwaren</t>
  </si>
  <si>
    <t>Eisenerz</t>
  </si>
  <si>
    <t>Bier</t>
  </si>
  <si>
    <t>Zusatz Betriebe</t>
  </si>
  <si>
    <t>Summe</t>
  </si>
  <si>
    <t>Reiche</t>
  </si>
  <si>
    <t>1000 Reiche</t>
  </si>
  <si>
    <t>Wohlhabende</t>
  </si>
  <si>
    <t>1000 Wohlhabende</t>
  </si>
  <si>
    <t>Arme</t>
  </si>
  <si>
    <t>1000 Arme</t>
  </si>
  <si>
    <t>Kaufmannshäuser</t>
  </si>
  <si>
    <t>Giebelhäuser</t>
  </si>
  <si>
    <t>Fachwerkhäuer</t>
  </si>
  <si>
    <t>benötigte Häuser</t>
  </si>
  <si>
    <t>max Einw.</t>
  </si>
  <si>
    <t>%</t>
  </si>
  <si>
    <t xml:space="preserve">Bevölkerung: </t>
  </si>
  <si>
    <t>Brauerei</t>
  </si>
  <si>
    <t>Eisenschmelze</t>
  </si>
  <si>
    <t>Fischer (Walfang)</t>
  </si>
  <si>
    <t>Getreidehof</t>
  </si>
  <si>
    <t>Hanfhof</t>
  </si>
  <si>
    <t>Imker</t>
  </si>
  <si>
    <t>Jagdhütte</t>
  </si>
  <si>
    <t xml:space="preserve"> Pechkocher</t>
  </si>
  <si>
    <t>Sägewerk</t>
  </si>
  <si>
    <t>schafzucht</t>
  </si>
  <si>
    <t>Salzsiede</t>
  </si>
  <si>
    <t>Töpferei</t>
  </si>
  <si>
    <t>Viehhof</t>
  </si>
  <si>
    <t>Weberei</t>
  </si>
  <si>
    <t>Weingut</t>
  </si>
  <si>
    <t>Werkstatt</t>
  </si>
  <si>
    <t>Ziegelei</t>
  </si>
  <si>
    <t>Anzahl</t>
  </si>
  <si>
    <t>daraus ergibt sich folgeder Faktor:</t>
  </si>
  <si>
    <t>Fahrzeit (in Tagen) für eine Strecke:</t>
  </si>
  <si>
    <t>Felix´ Patriziertool zur Handelsroutenoptimierung</t>
  </si>
  <si>
    <t>Gesamtbedarf / Woche</t>
  </si>
  <si>
    <t>Ø1000 Einw.</t>
  </si>
  <si>
    <t>©Felix Granzow</t>
  </si>
  <si>
    <t>ausgelegt für das Spiel mit Zentrallager</t>
  </si>
  <si>
    <t>folglich ist mit einer Gesamtzeit pro Zyklus von</t>
  </si>
  <si>
    <t>Tagen zu rechnen.</t>
  </si>
  <si>
    <t>Anzahl erforderlicher Schiffe</t>
  </si>
  <si>
    <t>Bedarf für einen Zyklus</t>
  </si>
  <si>
    <t>Produktion</t>
  </si>
  <si>
    <t>Verbrauch</t>
  </si>
  <si>
    <t xml:space="preserve"> -&gt;Zusatz</t>
  </si>
  <si>
    <t>hellblau gefüllte Felder bitte ausfüllen</t>
  </si>
  <si>
    <t>Produktion 1 Grundwert (effizient)</t>
  </si>
  <si>
    <t>Gesamt (Hinfahrt)</t>
  </si>
  <si>
    <t>Überschuss durch Produktion</t>
  </si>
  <si>
    <t>Gesamt (Rückfahrt)</t>
  </si>
  <si>
    <t>Produktivität</t>
  </si>
  <si>
    <t>Benutzerdefiniert</t>
  </si>
  <si>
    <t>Fischerhütte</t>
  </si>
  <si>
    <t>Walfang</t>
  </si>
  <si>
    <t>wal100</t>
  </si>
  <si>
    <t>wal75</t>
  </si>
  <si>
    <t>walBenDef</t>
  </si>
  <si>
    <t>Fisch.zahl</t>
  </si>
  <si>
    <t>Fisch.BenDef</t>
  </si>
  <si>
    <t>.=WENN(UND(A5="Fischerhütte";ODER(B5=100%;B5=75%));B5*C5*Y5/7*Patrizier!$E$17;"…")</t>
  </si>
  <si>
    <t>felix.granzow@gmail.com</t>
  </si>
  <si>
    <t>Benutzerdefinierte Auslastung:</t>
  </si>
  <si>
    <t>Produktion2</t>
  </si>
  <si>
    <t>Leder:</t>
  </si>
  <si>
    <t>Tran:</t>
  </si>
  <si>
    <t>Produktion 1</t>
  </si>
  <si>
    <r>
      <rPr>
        <b/>
        <sz val="9"/>
        <color rgb="FFFF0000"/>
        <rFont val="Calibri"/>
        <family val="2"/>
        <scheme val="minor"/>
      </rPr>
      <t>Hinweis</t>
    </r>
    <r>
      <rPr>
        <sz val="9"/>
        <rFont val="Calibri"/>
        <family val="2"/>
        <scheme val="minor"/>
      </rPr>
      <t>: Die Berechnung erfolgt inklusive der lokalen Produktion. Hierbei wird von effektiver Warenproduktion und 100% Auslastung ausgegangen. Falls ineffiezient produziert wird (75%) dann entsprechenden Zusatzbedarf dazurechnen</t>
    </r>
  </si>
  <si>
    <t>wöchentlicher Verbrauch pro Betrieb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</si>
</sst>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9.5"/>
      <name val="Calibri"/>
      <family val="2"/>
      <scheme val="minor"/>
    </font>
    <font>
      <b/>
      <sz val="9.5"/>
      <name val="Calibri"/>
      <family val="2"/>
      <scheme val="minor"/>
    </font>
    <font>
      <u/>
      <sz val="9.5"/>
      <color theme="10"/>
      <name val="Calibri"/>
      <family val="2"/>
      <scheme val="minor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indexed="81"/>
      <name val="Tahoma"/>
      <charset val="1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21E8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double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NumberFormat="1" applyProtection="1"/>
    <xf numFmtId="0" fontId="1" fillId="0" borderId="0" xfId="0" applyNumberFormat="1" applyFont="1" applyProtection="1"/>
    <xf numFmtId="0" fontId="0" fillId="0" borderId="0" xfId="0" applyProtection="1"/>
    <xf numFmtId="0" fontId="0" fillId="0" borderId="0" xfId="0" applyFill="1" applyProtection="1"/>
    <xf numFmtId="0" fontId="4" fillId="0" borderId="1" xfId="0" applyNumberFormat="1" applyFont="1" applyBorder="1" applyProtection="1"/>
    <xf numFmtId="0" fontId="5" fillId="0" borderId="1" xfId="0" applyNumberFormat="1" applyFont="1" applyBorder="1" applyProtection="1"/>
    <xf numFmtId="0" fontId="8" fillId="0" borderId="6" xfId="0" applyFont="1" applyBorder="1" applyProtection="1"/>
    <xf numFmtId="0" fontId="8" fillId="0" borderId="1" xfId="0" applyNumberFormat="1" applyFont="1" applyBorder="1" applyProtection="1"/>
    <xf numFmtId="0" fontId="9" fillId="0" borderId="1" xfId="0" applyNumberFormat="1" applyFont="1" applyBorder="1" applyProtection="1"/>
    <xf numFmtId="0" fontId="8" fillId="0" borderId="1" xfId="0" applyFont="1" applyBorder="1" applyAlignment="1" applyProtection="1">
      <alignment horizontal="center" textRotation="90"/>
    </xf>
    <xf numFmtId="0" fontId="8" fillId="0" borderId="8" xfId="0" applyFont="1" applyBorder="1" applyAlignment="1" applyProtection="1">
      <alignment horizontal="center" textRotation="90"/>
    </xf>
    <xf numFmtId="0" fontId="8" fillId="4" borderId="1" xfId="0" applyFont="1" applyFill="1" applyBorder="1" applyAlignment="1" applyProtection="1">
      <alignment horizontal="center" textRotation="90"/>
    </xf>
    <xf numFmtId="0" fontId="8" fillId="5" borderId="1" xfId="0" applyFont="1" applyFill="1" applyBorder="1" applyAlignment="1" applyProtection="1">
      <alignment horizontal="center" textRotation="90"/>
    </xf>
    <xf numFmtId="0" fontId="8" fillId="3" borderId="1" xfId="0" applyFont="1" applyFill="1" applyBorder="1" applyAlignment="1" applyProtection="1">
      <alignment horizontal="center" textRotation="90"/>
    </xf>
    <xf numFmtId="0" fontId="8" fillId="0" borderId="0" xfId="0" applyFont="1" applyAlignment="1" applyProtection="1">
      <alignment horizontal="center" textRotation="9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8" borderId="5" xfId="0" applyNumberFormat="1" applyFont="1" applyFill="1" applyBorder="1" applyAlignment="1" applyProtection="1">
      <alignment horizontal="center" vertical="center"/>
    </xf>
    <xf numFmtId="0" fontId="4" fillId="8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1" xfId="0" applyFont="1" applyBorder="1" applyProtection="1"/>
    <xf numFmtId="0" fontId="4" fillId="4" borderId="1" xfId="0" applyFont="1" applyFill="1" applyBorder="1" applyProtection="1"/>
    <xf numFmtId="2" fontId="4" fillId="0" borderId="1" xfId="0" applyNumberFormat="1" applyFont="1" applyBorder="1" applyProtection="1"/>
    <xf numFmtId="0" fontId="4" fillId="3" borderId="1" xfId="0" applyFont="1" applyFill="1" applyBorder="1" applyProtection="1"/>
    <xf numFmtId="0" fontId="4" fillId="5" borderId="1" xfId="0" applyFont="1" applyFill="1" applyBorder="1" applyProtection="1"/>
    <xf numFmtId="0" fontId="4" fillId="0" borderId="0" xfId="0" applyFont="1" applyBorder="1" applyProtection="1"/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Fill="1" applyProtection="1"/>
    <xf numFmtId="0" fontId="4" fillId="0" borderId="0" xfId="0" applyFont="1" applyAlignment="1" applyProtection="1">
      <alignment vertical="center"/>
    </xf>
    <xf numFmtId="0" fontId="4" fillId="0" borderId="7" xfId="0" applyFont="1" applyBorder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6" fillId="6" borderId="4" xfId="0" applyFont="1" applyFill="1" applyBorder="1" applyProtection="1">
      <protection locked="0"/>
    </xf>
    <xf numFmtId="0" fontId="7" fillId="0" borderId="1" xfId="0" applyFont="1" applyBorder="1" applyProtection="1"/>
    <xf numFmtId="0" fontId="7" fillId="0" borderId="3" xfId="0" applyFont="1" applyBorder="1" applyProtection="1"/>
    <xf numFmtId="0" fontId="8" fillId="0" borderId="0" xfId="0" applyFont="1" applyProtection="1"/>
    <xf numFmtId="0" fontId="4" fillId="0" borderId="0" xfId="0" applyFont="1" applyFill="1" applyBorder="1" applyAlignment="1" applyProtection="1">
      <alignment horizontal="center" vertical="center"/>
    </xf>
    <xf numFmtId="0" fontId="4" fillId="4" borderId="2" xfId="0" applyFont="1" applyFill="1" applyBorder="1" applyProtection="1"/>
    <xf numFmtId="0" fontId="4" fillId="0" borderId="9" xfId="0" applyFont="1" applyBorder="1" applyAlignment="1" applyProtection="1">
      <alignment horizontal="center" vertical="center" wrapText="1"/>
    </xf>
    <xf numFmtId="0" fontId="11" fillId="2" borderId="1" xfId="0" applyFont="1" applyFill="1" applyBorder="1" applyProtection="1"/>
    <xf numFmtId="0" fontId="11" fillId="2" borderId="3" xfId="0" applyFont="1" applyFill="1" applyBorder="1" applyProtection="1"/>
    <xf numFmtId="0" fontId="12" fillId="2" borderId="1" xfId="0" applyFont="1" applyFill="1" applyBorder="1" applyAlignment="1" applyProtection="1">
      <alignment horizontal="center" textRotation="90"/>
    </xf>
    <xf numFmtId="0" fontId="9" fillId="5" borderId="1" xfId="0" applyNumberFormat="1" applyFont="1" applyFill="1" applyBorder="1" applyProtection="1"/>
    <xf numFmtId="0" fontId="9" fillId="0" borderId="3" xfId="0" applyFont="1" applyBorder="1" applyProtection="1"/>
    <xf numFmtId="0" fontId="13" fillId="0" borderId="0" xfId="0" applyFont="1" applyProtection="1"/>
    <xf numFmtId="0" fontId="2" fillId="0" borderId="0" xfId="1" applyAlignment="1" applyProtection="1">
      <alignment vertical="top"/>
    </xf>
    <xf numFmtId="0" fontId="14" fillId="0" borderId="0" xfId="0" applyFont="1" applyProtection="1"/>
    <xf numFmtId="2" fontId="4" fillId="0" borderId="1" xfId="0" applyNumberFormat="1" applyFont="1" applyFill="1" applyBorder="1" applyProtection="1"/>
    <xf numFmtId="2" fontId="4" fillId="0" borderId="0" xfId="0" applyNumberFormat="1" applyFont="1" applyBorder="1" applyProtection="1"/>
    <xf numFmtId="0" fontId="4" fillId="0" borderId="0" xfId="0" applyFont="1" applyBorder="1" applyAlignment="1" applyProtection="1">
      <alignment horizontal="center" vertical="center" wrapText="1"/>
    </xf>
    <xf numFmtId="0" fontId="4" fillId="4" borderId="1" xfId="0" applyNumberFormat="1" applyFont="1" applyFill="1" applyBorder="1" applyProtection="1"/>
    <xf numFmtId="0" fontId="4" fillId="3" borderId="1" xfId="0" applyNumberFormat="1" applyFont="1" applyFill="1" applyBorder="1" applyProtection="1"/>
    <xf numFmtId="0" fontId="11" fillId="2" borderId="1" xfId="0" applyNumberFormat="1" applyFont="1" applyFill="1" applyBorder="1" applyProtection="1"/>
    <xf numFmtId="0" fontId="4" fillId="7" borderId="1" xfId="0" applyNumberFormat="1" applyFont="1" applyFill="1" applyBorder="1" applyProtection="1"/>
    <xf numFmtId="0" fontId="4" fillId="0" borderId="12" xfId="0" applyFont="1" applyBorder="1" applyProtection="1"/>
    <xf numFmtId="0" fontId="8" fillId="0" borderId="0" xfId="0" applyNumberFormat="1" applyFont="1" applyFill="1" applyBorder="1" applyProtection="1"/>
    <xf numFmtId="0" fontId="4" fillId="5" borderId="1" xfId="0" applyNumberFormat="1" applyFont="1" applyFill="1" applyBorder="1" applyAlignment="1" applyProtection="1">
      <alignment horizontal="center" vertical="center"/>
    </xf>
    <xf numFmtId="0" fontId="0" fillId="9" borderId="0" xfId="0" applyFill="1" applyBorder="1" applyProtection="1"/>
    <xf numFmtId="0" fontId="0" fillId="0" borderId="0" xfId="0" applyAlignment="1" applyProtection="1">
      <alignment horizontal="center"/>
    </xf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0" xfId="1" applyProtection="1"/>
    <xf numFmtId="0" fontId="4" fillId="0" borderId="1" xfId="0" applyFont="1" applyBorder="1" applyAlignment="1" applyProtection="1">
      <alignment horizontal="center"/>
    </xf>
    <xf numFmtId="0" fontId="6" fillId="6" borderId="15" xfId="0" applyFont="1" applyFill="1" applyBorder="1" applyProtection="1">
      <protection locked="0"/>
    </xf>
    <xf numFmtId="0" fontId="6" fillId="6" borderId="16" xfId="0" applyFont="1" applyFill="1" applyBorder="1" applyProtection="1">
      <protection locked="0"/>
    </xf>
    <xf numFmtId="0" fontId="6" fillId="6" borderId="17" xfId="0" applyFont="1" applyFill="1" applyBorder="1" applyProtection="1">
      <protection locked="0"/>
    </xf>
    <xf numFmtId="0" fontId="0" fillId="0" borderId="0" xfId="0" applyBorder="1"/>
    <xf numFmtId="0" fontId="4" fillId="8" borderId="6" xfId="0" applyNumberFormat="1" applyFont="1" applyFill="1" applyBorder="1" applyAlignment="1" applyProtection="1">
      <alignment horizontal="center" vertical="center"/>
    </xf>
    <xf numFmtId="0" fontId="8" fillId="9" borderId="0" xfId="0" applyFont="1" applyFill="1" applyBorder="1" applyAlignment="1" applyProtection="1">
      <alignment horizontal="center" textRotation="90"/>
    </xf>
    <xf numFmtId="0" fontId="4" fillId="9" borderId="0" xfId="0" applyNumberFormat="1" applyFont="1" applyFill="1" applyBorder="1" applyProtection="1"/>
    <xf numFmtId="0" fontId="5" fillId="9" borderId="0" xfId="0" applyNumberFormat="1" applyFont="1" applyFill="1" applyBorder="1" applyProtection="1"/>
    <xf numFmtId="0" fontId="0" fillId="9" borderId="5" xfId="0" applyFill="1" applyBorder="1" applyProtection="1"/>
    <xf numFmtId="0" fontId="4" fillId="9" borderId="11" xfId="0" applyNumberFormat="1" applyFont="1" applyFill="1" applyBorder="1" applyAlignment="1" applyProtection="1">
      <alignment horizontal="center" vertical="center"/>
    </xf>
    <xf numFmtId="0" fontId="9" fillId="8" borderId="1" xfId="0" applyNumberFormat="1" applyFont="1" applyFill="1" applyBorder="1" applyProtection="1"/>
    <xf numFmtId="0" fontId="4" fillId="8" borderId="1" xfId="0" applyFont="1" applyFill="1" applyBorder="1" applyProtection="1"/>
    <xf numFmtId="0" fontId="4" fillId="10" borderId="1" xfId="0" applyNumberFormat="1" applyFont="1" applyFill="1" applyBorder="1" applyProtection="1"/>
    <xf numFmtId="0" fontId="4" fillId="0" borderId="20" xfId="0" applyFont="1" applyBorder="1" applyProtection="1"/>
    <xf numFmtId="0" fontId="9" fillId="0" borderId="1" xfId="0" applyFont="1" applyBorder="1" applyProtection="1"/>
    <xf numFmtId="0" fontId="8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horizontal="right" vertical="center"/>
    </xf>
    <xf numFmtId="0" fontId="15" fillId="0" borderId="0" xfId="0" applyFont="1" applyFill="1" applyAlignment="1" applyProtection="1">
      <alignment horizontal="right" vertical="center"/>
    </xf>
    <xf numFmtId="0" fontId="16" fillId="0" borderId="2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Protection="1"/>
    <xf numFmtId="0" fontId="9" fillId="0" borderId="0" xfId="0" applyFont="1" applyFill="1" applyBorder="1" applyProtection="1"/>
    <xf numFmtId="0" fontId="0" fillId="0" borderId="0" xfId="0" applyBorder="1" applyProtection="1"/>
    <xf numFmtId="0" fontId="9" fillId="0" borderId="0" xfId="0" applyFont="1" applyBorder="1" applyProtection="1"/>
    <xf numFmtId="0" fontId="5" fillId="0" borderId="0" xfId="0" applyFont="1" applyBorder="1" applyProtection="1"/>
    <xf numFmtId="0" fontId="4" fillId="10" borderId="8" xfId="0" applyNumberFormat="1" applyFont="1" applyFill="1" applyBorder="1" applyProtection="1"/>
    <xf numFmtId="0" fontId="4" fillId="0" borderId="18" xfId="0" applyFont="1" applyBorder="1" applyProtection="1"/>
    <xf numFmtId="0" fontId="4" fillId="8" borderId="8" xfId="0" applyFont="1" applyFill="1" applyBorder="1" applyProtection="1"/>
    <xf numFmtId="0" fontId="4" fillId="0" borderId="23" xfId="0" applyFont="1" applyBorder="1" applyProtection="1"/>
    <xf numFmtId="9" fontId="0" fillId="0" borderId="0" xfId="0" applyNumberFormat="1" applyProtection="1"/>
    <xf numFmtId="0" fontId="8" fillId="0" borderId="6" xfId="0" applyNumberFormat="1" applyFont="1" applyBorder="1" applyProtection="1"/>
    <xf numFmtId="0" fontId="4" fillId="0" borderId="9" xfId="0" applyNumberFormat="1" applyFont="1" applyBorder="1" applyProtection="1"/>
    <xf numFmtId="9" fontId="4" fillId="6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25" xfId="0" applyNumberFormat="1" applyFont="1" applyFill="1" applyBorder="1" applyAlignment="1" applyProtection="1">
      <alignment wrapText="1"/>
    </xf>
    <xf numFmtId="1" fontId="5" fillId="0" borderId="1" xfId="0" applyNumberFormat="1" applyFont="1" applyBorder="1" applyProtection="1"/>
    <xf numFmtId="0" fontId="0" fillId="0" borderId="1" xfId="0" applyBorder="1" applyAlignment="1">
      <alignment horizontal="right"/>
    </xf>
    <xf numFmtId="0" fontId="9" fillId="0" borderId="24" xfId="0" applyFont="1" applyBorder="1" applyAlignment="1" applyProtection="1">
      <alignment horizontal="right" vertical="center"/>
    </xf>
    <xf numFmtId="0" fontId="9" fillId="0" borderId="21" xfId="0" applyFont="1" applyBorder="1" applyAlignment="1" applyProtection="1">
      <alignment horizontal="right" vertical="center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2" fillId="0" borderId="13" xfId="1" applyBorder="1" applyAlignment="1" applyProtection="1">
      <alignment horizontal="center" vertical="center" wrapText="1"/>
    </xf>
    <xf numFmtId="0" fontId="2" fillId="0" borderId="14" xfId="1" applyBorder="1" applyAlignment="1" applyProtection="1">
      <alignment horizontal="center" vertical="center" wrapText="1"/>
    </xf>
    <xf numFmtId="0" fontId="4" fillId="6" borderId="4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right"/>
    </xf>
    <xf numFmtId="0" fontId="4" fillId="0" borderId="5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textRotation="90"/>
    </xf>
    <xf numFmtId="0" fontId="0" fillId="0" borderId="1" xfId="0" applyBorder="1" applyProtection="1"/>
    <xf numFmtId="0" fontId="0" fillId="0" borderId="1" xfId="0" applyBorder="1" applyAlignment="1" applyProtection="1">
      <alignment horizontal="left"/>
    </xf>
    <xf numFmtId="0" fontId="0" fillId="0" borderId="1" xfId="0" applyFill="1" applyBorder="1" applyProtection="1"/>
    <xf numFmtId="0" fontId="0" fillId="0" borderId="1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8" fillId="6" borderId="6" xfId="0" applyFont="1" applyFill="1" applyBorder="1" applyProtection="1">
      <protection locked="0"/>
    </xf>
    <xf numFmtId="0" fontId="0" fillId="0" borderId="19" xfId="0" applyBorder="1" applyProtection="1"/>
    <xf numFmtId="0" fontId="0" fillId="0" borderId="9" xfId="0" applyBorder="1" applyProtection="1"/>
    <xf numFmtId="0" fontId="5" fillId="0" borderId="18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 textRotation="90" wrapText="1"/>
    </xf>
    <xf numFmtId="0" fontId="18" fillId="0" borderId="13" xfId="0" applyFont="1" applyBorder="1" applyAlignment="1" applyProtection="1">
      <alignment horizontal="left" vertical="center" wrapText="1"/>
    </xf>
    <xf numFmtId="0" fontId="18" fillId="0" borderId="18" xfId="0" applyFont="1" applyBorder="1" applyAlignment="1" applyProtection="1">
      <alignment horizontal="left" vertical="center" wrapText="1"/>
    </xf>
    <xf numFmtId="0" fontId="18" fillId="0" borderId="14" xfId="0" applyFont="1" applyBorder="1" applyAlignment="1" applyProtection="1">
      <alignment horizontal="left" vertical="center" wrapText="1"/>
    </xf>
    <xf numFmtId="0" fontId="18" fillId="0" borderId="1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12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left" vertical="center" wrapText="1"/>
    </xf>
    <xf numFmtId="0" fontId="18" fillId="0" borderId="19" xfId="0" applyFont="1" applyBorder="1" applyAlignment="1" applyProtection="1">
      <alignment horizontal="left" vertical="center" wrapText="1"/>
    </xf>
    <xf numFmtId="0" fontId="18" fillId="0" borderId="9" xfId="0" applyFont="1" applyBorder="1" applyAlignment="1" applyProtection="1">
      <alignment horizontal="left" vertical="center" wrapText="1"/>
    </xf>
    <xf numFmtId="0" fontId="4" fillId="11" borderId="0" xfId="0" applyFont="1" applyFill="1" applyAlignment="1" applyProtection="1">
      <alignment horizontal="center"/>
    </xf>
    <xf numFmtId="0" fontId="5" fillId="11" borderId="0" xfId="0" applyFont="1" applyFill="1" applyAlignment="1" applyProtection="1">
      <alignment horizontal="center"/>
    </xf>
    <xf numFmtId="0" fontId="4" fillId="11" borderId="1" xfId="0" applyFont="1" applyFill="1" applyBorder="1" applyAlignment="1" applyProtection="1">
      <alignment horizontal="center"/>
    </xf>
    <xf numFmtId="0" fontId="4" fillId="11" borderId="1" xfId="0" applyFont="1" applyFill="1" applyBorder="1" applyAlignment="1" applyProtection="1">
      <alignment horizontal="center" vertical="center"/>
    </xf>
    <xf numFmtId="0" fontId="7" fillId="11" borderId="1" xfId="0" applyFont="1" applyFill="1" applyBorder="1" applyAlignment="1" applyProtection="1">
      <alignment horizontal="center"/>
    </xf>
    <xf numFmtId="0" fontId="4" fillId="11" borderId="2" xfId="0" applyFont="1" applyFill="1" applyBorder="1" applyProtection="1"/>
    <xf numFmtId="0" fontId="4" fillId="0" borderId="6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left"/>
    </xf>
  </cellXfs>
  <cellStyles count="2">
    <cellStyle name="Hyperlink" xfId="1" builtinId="8"/>
    <cellStyle name="Standard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ECFF"/>
      <color rgb="FF8CEA3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lix.granzow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Z58"/>
  <sheetViews>
    <sheetView showGridLines="0" tabSelected="1" workbookViewId="0">
      <selection activeCell="D9" sqref="D9"/>
    </sheetView>
  </sheetViews>
  <sheetFormatPr baseColWidth="10" defaultRowHeight="15.75" x14ac:dyDescent="0.25"/>
  <cols>
    <col min="1" max="1" width="3.85546875" style="3" customWidth="1"/>
    <col min="2" max="2" width="12.140625" style="3" customWidth="1"/>
    <col min="3" max="3" width="12.85546875" style="3" customWidth="1"/>
    <col min="4" max="4" width="8.5703125" style="3" customWidth="1"/>
    <col min="5" max="5" width="5" style="3" customWidth="1"/>
    <col min="6" max="6" width="3.42578125" style="3" customWidth="1"/>
    <col min="7" max="7" width="15.42578125" style="3" customWidth="1"/>
    <col min="8" max="8" width="4.42578125" style="3" customWidth="1"/>
    <col min="9" max="9" width="14.140625" style="3" customWidth="1"/>
    <col min="10" max="11" width="2.140625" style="3" customWidth="1"/>
    <col min="12" max="12" width="11.42578125" style="3" customWidth="1"/>
    <col min="13" max="13" width="11.42578125" style="3" hidden="1" customWidth="1"/>
    <col min="14" max="14" width="5.7109375" style="3" customWidth="1"/>
    <col min="15" max="15" width="5.7109375" style="3" hidden="1" customWidth="1"/>
    <col min="16" max="16" width="5.7109375" style="3" customWidth="1"/>
    <col min="17" max="17" width="5.7109375" style="3" hidden="1" customWidth="1"/>
    <col min="18" max="18" width="5.7109375" style="3" customWidth="1"/>
    <col min="19" max="19" width="8.85546875" style="3" customWidth="1"/>
    <col min="20" max="20" width="10" style="3" customWidth="1"/>
    <col min="21" max="21" width="14.42578125" style="37" customWidth="1"/>
    <col min="22" max="22" width="6.42578125" style="3" customWidth="1"/>
    <col min="23" max="23" width="16.28515625" style="3" customWidth="1"/>
    <col min="24" max="24" width="11.42578125" style="3" customWidth="1"/>
    <col min="25" max="25" width="6.42578125" style="3" customWidth="1"/>
    <col min="26" max="26" width="6" style="3" customWidth="1"/>
    <col min="27" max="16384" width="11.42578125" style="3"/>
  </cols>
  <sheetData>
    <row r="1" spans="2:26" ht="33.75" customHeight="1" x14ac:dyDescent="0.35">
      <c r="B1" s="46" t="s">
        <v>63</v>
      </c>
    </row>
    <row r="2" spans="2:26" x14ac:dyDescent="0.25">
      <c r="B2" s="19" t="s">
        <v>67</v>
      </c>
    </row>
    <row r="3" spans="2:26" s="19" customFormat="1" x14ac:dyDescent="0.25">
      <c r="B3" s="48" t="s">
        <v>66</v>
      </c>
      <c r="U3" s="37"/>
    </row>
    <row r="4" spans="2:26" s="19" customFormat="1" x14ac:dyDescent="0.25">
      <c r="B4" s="47" t="s">
        <v>90</v>
      </c>
      <c r="H4" s="47"/>
      <c r="U4" s="37"/>
    </row>
    <row r="5" spans="2:26" s="19" customFormat="1" ht="15.75" customHeight="1" x14ac:dyDescent="0.25">
      <c r="H5" s="47"/>
      <c r="U5" s="37"/>
    </row>
    <row r="6" spans="2:26" s="19" customFormat="1" ht="15" customHeight="1" x14ac:dyDescent="0.25">
      <c r="C6" s="107" t="s">
        <v>75</v>
      </c>
      <c r="D6" s="107"/>
      <c r="E6" s="107"/>
      <c r="F6" s="107"/>
      <c r="G6" s="107"/>
      <c r="M6" s="19" t="s">
        <v>35</v>
      </c>
      <c r="N6" s="52" t="s">
        <v>34</v>
      </c>
      <c r="O6" s="19" t="s">
        <v>33</v>
      </c>
      <c r="P6" s="53" t="s">
        <v>32</v>
      </c>
      <c r="Q6" s="19" t="s">
        <v>31</v>
      </c>
      <c r="R6" s="54" t="s">
        <v>30</v>
      </c>
      <c r="U6" s="37"/>
    </row>
    <row r="7" spans="2:26" s="19" customFormat="1" ht="15" customHeight="1" x14ac:dyDescent="0.2">
      <c r="C7" s="38"/>
      <c r="D7" s="38"/>
      <c r="E7" s="38"/>
      <c r="F7" s="38"/>
      <c r="G7" s="38"/>
      <c r="L7" s="56"/>
      <c r="M7" s="113" t="s">
        <v>71</v>
      </c>
      <c r="N7" s="113"/>
      <c r="O7" s="113"/>
      <c r="P7" s="113"/>
      <c r="Q7" s="113"/>
      <c r="R7" s="113"/>
      <c r="S7" s="105" t="s">
        <v>28</v>
      </c>
      <c r="T7" s="106"/>
      <c r="U7" s="110" t="s">
        <v>64</v>
      </c>
      <c r="V7" s="103" t="s">
        <v>65</v>
      </c>
    </row>
    <row r="8" spans="2:26" s="19" customFormat="1" ht="15" customHeight="1" x14ac:dyDescent="0.2">
      <c r="C8" s="141" t="s">
        <v>42</v>
      </c>
      <c r="D8" s="142"/>
      <c r="E8" s="64" t="s">
        <v>41</v>
      </c>
      <c r="F8" s="20"/>
      <c r="G8" s="111" t="s">
        <v>40</v>
      </c>
      <c r="H8" s="112"/>
      <c r="I8" s="21" t="s">
        <v>39</v>
      </c>
      <c r="L8" s="40"/>
      <c r="M8" s="113"/>
      <c r="N8" s="113"/>
      <c r="O8" s="113"/>
      <c r="P8" s="113"/>
      <c r="Q8" s="113"/>
      <c r="R8" s="113"/>
      <c r="S8" s="61" t="s">
        <v>73</v>
      </c>
      <c r="T8" s="62" t="s">
        <v>72</v>
      </c>
      <c r="U8" s="110"/>
      <c r="V8" s="104"/>
      <c r="Y8" s="26"/>
      <c r="Z8" s="26"/>
    </row>
    <row r="9" spans="2:26" s="19" customFormat="1" ht="15" customHeight="1" x14ac:dyDescent="0.25">
      <c r="C9" s="22" t="s">
        <v>34</v>
      </c>
      <c r="D9" s="67">
        <v>10000</v>
      </c>
      <c r="E9" s="22">
        <f>D9/D12*100</f>
        <v>68.965517241379317</v>
      </c>
      <c r="F9" s="28"/>
      <c r="G9" s="22" t="s">
        <v>38</v>
      </c>
      <c r="H9" s="22">
        <v>280</v>
      </c>
      <c r="I9" s="22">
        <f>ROUNDUP(D9/H9,0)</f>
        <v>36</v>
      </c>
      <c r="L9" s="39" t="s">
        <v>27</v>
      </c>
      <c r="M9" s="21">
        <v>22.75</v>
      </c>
      <c r="N9" s="52">
        <f>ROUNDUP(((D9/1000)*M9)/7*E17,0)</f>
        <v>228</v>
      </c>
      <c r="O9" s="49">
        <v>45.5</v>
      </c>
      <c r="P9" s="53">
        <f>ROUNDUP(((D10/1000)*O9)/7*E17,0)</f>
        <v>137</v>
      </c>
      <c r="Q9" s="23">
        <v>22.75</v>
      </c>
      <c r="R9" s="54">
        <f>ROUNDUP(((D11/1000)*Q9)/7*E17,0)</f>
        <v>35</v>
      </c>
      <c r="S9" s="55">
        <f>Betriebe!D22</f>
        <v>0</v>
      </c>
      <c r="T9" s="55">
        <f>IF(Betriebe!AF3="",0,Betriebe!AF3)</f>
        <v>0</v>
      </c>
      <c r="U9" s="44">
        <f t="shared" ref="U9:U28" si="0">ROUNDUP((N9+P9+R9+S9-T9),0)</f>
        <v>400</v>
      </c>
      <c r="V9" s="25">
        <v>29</v>
      </c>
      <c r="Y9" s="26"/>
      <c r="Z9" s="50"/>
    </row>
    <row r="10" spans="2:26" s="19" customFormat="1" ht="15" customHeight="1" x14ac:dyDescent="0.25">
      <c r="C10" s="24" t="s">
        <v>32</v>
      </c>
      <c r="D10" s="65">
        <v>3000</v>
      </c>
      <c r="E10" s="24">
        <f>D10/D12*100</f>
        <v>20.689655172413794</v>
      </c>
      <c r="F10" s="28"/>
      <c r="G10" s="24" t="s">
        <v>37</v>
      </c>
      <c r="H10" s="24">
        <v>140</v>
      </c>
      <c r="I10" s="24">
        <f>ROUNDUP(D10/H10,0)</f>
        <v>22</v>
      </c>
      <c r="L10" s="25" t="s">
        <v>26</v>
      </c>
      <c r="M10" s="21"/>
      <c r="N10" s="52">
        <f>ROUNDUP(((D9/1000)*M10)/7*E17,0)</f>
        <v>0</v>
      </c>
      <c r="O10" s="23"/>
      <c r="P10" s="53">
        <f>ROUNDUP(((D10/1000)*O10)/7*E17,0)</f>
        <v>0</v>
      </c>
      <c r="Q10" s="23"/>
      <c r="R10" s="54">
        <f>ROUNDUP(((D11/1000)*Q10)/7*E17,0)</f>
        <v>0</v>
      </c>
      <c r="S10" s="77">
        <f>Betriebe!E22</f>
        <v>0</v>
      </c>
      <c r="T10" s="55">
        <f>IF(Betriebe!AF4="",0,Betriebe!AF4)</f>
        <v>0</v>
      </c>
      <c r="U10" s="75">
        <f t="shared" si="0"/>
        <v>0</v>
      </c>
      <c r="V10" s="76"/>
      <c r="Y10" s="26"/>
      <c r="Z10" s="50"/>
    </row>
    <row r="11" spans="2:26" s="19" customFormat="1" ht="15" customHeight="1" thickBot="1" x14ac:dyDescent="0.3">
      <c r="C11" s="41" t="s">
        <v>30</v>
      </c>
      <c r="D11" s="66">
        <v>1500</v>
      </c>
      <c r="E11" s="41">
        <f>D11/D12*100</f>
        <v>10.344827586206897</v>
      </c>
      <c r="F11" s="28"/>
      <c r="G11" s="41" t="s">
        <v>36</v>
      </c>
      <c r="H11" s="41">
        <v>80</v>
      </c>
      <c r="I11" s="42">
        <f>ROUNDUP(D11/H11,0)</f>
        <v>19</v>
      </c>
      <c r="L11" s="41" t="s">
        <v>25</v>
      </c>
      <c r="M11" s="21">
        <v>8.75</v>
      </c>
      <c r="N11" s="52">
        <f>ROUNDUP(((D9/1000)*M11)/7*E17,0)</f>
        <v>88</v>
      </c>
      <c r="O11" s="23">
        <v>26.25</v>
      </c>
      <c r="P11" s="53">
        <f>ROUNDUP(((D10/1000)*O11)/7*E17,0)</f>
        <v>79</v>
      </c>
      <c r="Q11" s="23">
        <v>35</v>
      </c>
      <c r="R11" s="54">
        <f>ROUNDUP(((D11/1000)*Q11)/7*E17,0)</f>
        <v>53</v>
      </c>
      <c r="S11" s="55">
        <f>Betriebe!F22</f>
        <v>0</v>
      </c>
      <c r="T11" s="55">
        <f>IF(Betriebe!AF19="",0,Betriebe!AF19)</f>
        <v>0</v>
      </c>
      <c r="U11" s="44">
        <f t="shared" si="0"/>
        <v>220</v>
      </c>
      <c r="V11" s="25">
        <v>19</v>
      </c>
      <c r="Y11" s="26"/>
      <c r="Z11" s="50"/>
    </row>
    <row r="12" spans="2:26" s="19" customFormat="1" ht="15" customHeight="1" thickTop="1" x14ac:dyDescent="0.25">
      <c r="C12" s="21" t="s">
        <v>29</v>
      </c>
      <c r="D12" s="140">
        <f>SUM(D9:D11)</f>
        <v>14500</v>
      </c>
      <c r="I12" s="140">
        <f>SUM(I9:I11)</f>
        <v>77</v>
      </c>
      <c r="L12" s="41" t="s">
        <v>24</v>
      </c>
      <c r="M12" s="21">
        <v>0</v>
      </c>
      <c r="N12" s="52">
        <f>ROUNDUP(((D9/1000)*M12)/7*E17,0)</f>
        <v>0</v>
      </c>
      <c r="O12" s="23">
        <v>10.5</v>
      </c>
      <c r="P12" s="53">
        <f>ROUNDUP(((D10/1000)*O12)/7*E17,0)</f>
        <v>32</v>
      </c>
      <c r="Q12" s="23">
        <v>21</v>
      </c>
      <c r="R12" s="54">
        <f>ROUNDUP(((D11/1000)*Q12)/7*E17,0)</f>
        <v>32</v>
      </c>
      <c r="S12" s="55">
        <f>Betriebe!G25</f>
        <v>0</v>
      </c>
      <c r="T12" s="55">
        <f>IF(Betriebe!AF10="",0,Betriebe!AF10)</f>
        <v>0</v>
      </c>
      <c r="U12" s="44">
        <f t="shared" si="0"/>
        <v>64</v>
      </c>
      <c r="V12" s="25">
        <v>6</v>
      </c>
      <c r="Y12" s="26"/>
      <c r="Z12" s="50"/>
    </row>
    <row r="13" spans="2:26" s="19" customFormat="1" ht="15" customHeight="1" x14ac:dyDescent="0.25">
      <c r="L13" s="22" t="s">
        <v>23</v>
      </c>
      <c r="M13" s="21">
        <v>3.5</v>
      </c>
      <c r="N13" s="52">
        <f>ROUNDUP(((D9/1000)*M13)/7*E17,0)</f>
        <v>35</v>
      </c>
      <c r="O13" s="23">
        <v>2.8</v>
      </c>
      <c r="P13" s="53">
        <f>ROUNDUP(((D10/1000)*O13)/7*E17,0)</f>
        <v>9</v>
      </c>
      <c r="Q13" s="23">
        <v>1.4</v>
      </c>
      <c r="R13" s="54">
        <f>ROUNDUP(((D11/1000)*Q13)/7*E17,0)</f>
        <v>3</v>
      </c>
      <c r="S13" s="77">
        <f>Betriebe!H22</f>
        <v>0</v>
      </c>
      <c r="T13" s="77">
        <f>IF(Betriebe!AF5="",0,Betriebe!AF5)</f>
        <v>0</v>
      </c>
      <c r="U13" s="75">
        <f t="shared" si="0"/>
        <v>47</v>
      </c>
      <c r="V13" s="76">
        <v>3</v>
      </c>
      <c r="Y13" s="26"/>
      <c r="Z13" s="50"/>
    </row>
    <row r="14" spans="2:26" s="19" customFormat="1" ht="15" customHeight="1" x14ac:dyDescent="0.25">
      <c r="D14" s="32" t="s">
        <v>62</v>
      </c>
      <c r="E14" s="34">
        <v>3</v>
      </c>
      <c r="L14" s="41" t="s">
        <v>22</v>
      </c>
      <c r="M14" s="21">
        <v>0.45</v>
      </c>
      <c r="N14" s="52">
        <f>ROUNDUP(((D9/1000)*M14)/7*E17,0)</f>
        <v>5</v>
      </c>
      <c r="O14" s="23">
        <v>3.05</v>
      </c>
      <c r="P14" s="53">
        <f>ROUNDUP(((D10/1000)*O14)/7*E17,0)</f>
        <v>10</v>
      </c>
      <c r="Q14" s="23">
        <v>3.85</v>
      </c>
      <c r="R14" s="54">
        <f>ROUNDUP(((D11/1000)*Q14)/7*E17,0)</f>
        <v>6</v>
      </c>
      <c r="S14" s="77">
        <f>Betriebe!I22</f>
        <v>0</v>
      </c>
      <c r="T14" s="55">
        <f>IF(Betriebe!AF16="",0,Betriebe!AF16)</f>
        <v>0</v>
      </c>
      <c r="U14" s="75">
        <f t="shared" si="0"/>
        <v>21</v>
      </c>
      <c r="V14" s="76">
        <v>2</v>
      </c>
      <c r="Y14" s="26"/>
      <c r="Z14" s="50"/>
    </row>
    <row r="15" spans="2:26" s="19" customFormat="1" ht="15" customHeight="1" x14ac:dyDescent="0.25">
      <c r="D15" s="32" t="s">
        <v>4</v>
      </c>
      <c r="E15" s="34">
        <v>15</v>
      </c>
      <c r="F15" s="26"/>
      <c r="L15" s="22" t="s">
        <v>21</v>
      </c>
      <c r="M15" s="21">
        <v>5.25</v>
      </c>
      <c r="N15" s="52">
        <f>ROUNDUP(((D9/1000)*M15)/7*E17,0)</f>
        <v>53</v>
      </c>
      <c r="O15" s="23">
        <v>4.2</v>
      </c>
      <c r="P15" s="53">
        <f>ROUNDUP(((D10/1000)*O15)/7*E17,0)</f>
        <v>13</v>
      </c>
      <c r="Q15" s="23">
        <v>3.15</v>
      </c>
      <c r="R15" s="54">
        <f>ROUNDUP(((D11/1000)*Q15)/7*E17,0)</f>
        <v>5</v>
      </c>
      <c r="S15" s="77">
        <f>Betriebe!J22</f>
        <v>0</v>
      </c>
      <c r="T15" s="55">
        <f>IF(Betriebe!AF7="",0,Betriebe!AF7)</f>
        <v>0</v>
      </c>
      <c r="U15" s="75">
        <f t="shared" si="0"/>
        <v>71</v>
      </c>
      <c r="V15" s="76">
        <v>5</v>
      </c>
      <c r="Y15" s="26"/>
      <c r="Z15" s="50"/>
    </row>
    <row r="16" spans="2:26" s="27" customFormat="1" ht="15" customHeight="1" x14ac:dyDescent="0.25">
      <c r="B16" s="19"/>
      <c r="D16" s="32" t="s">
        <v>61</v>
      </c>
      <c r="E16" s="135">
        <f>E15/100+1</f>
        <v>1.1499999999999999</v>
      </c>
      <c r="L16" s="41" t="s">
        <v>20</v>
      </c>
      <c r="M16" s="21">
        <v>0.7</v>
      </c>
      <c r="N16" s="52">
        <f>ROUNDUP(((D9/1000)*M16)/7*E17,0)</f>
        <v>7</v>
      </c>
      <c r="O16" s="23">
        <v>0.7</v>
      </c>
      <c r="P16" s="53">
        <f>ROUNDUP(((D10/1000)*O16)/7*E17,0)</f>
        <v>3</v>
      </c>
      <c r="Q16" s="23">
        <v>1.4</v>
      </c>
      <c r="R16" s="54">
        <f>ROUNDUP(((D11/1000)*Q16)/7*E17,0)</f>
        <v>3</v>
      </c>
      <c r="S16" s="55">
        <f>Betriebe!K22</f>
        <v>0</v>
      </c>
      <c r="T16" s="55">
        <v>0</v>
      </c>
      <c r="U16" s="44">
        <f>ROUNDUP((N16+P16+R16+S16-T16),0)</f>
        <v>13</v>
      </c>
      <c r="V16" s="25">
        <v>1</v>
      </c>
      <c r="Y16" s="51"/>
      <c r="Z16" s="50"/>
    </row>
    <row r="17" spans="2:26" s="19" customFormat="1" ht="15" customHeight="1" x14ac:dyDescent="0.25">
      <c r="D17" s="32" t="s">
        <v>68</v>
      </c>
      <c r="E17" s="136">
        <f>ROUNDUP(E14*2*E16,0)</f>
        <v>7</v>
      </c>
      <c r="F17" s="19" t="s">
        <v>69</v>
      </c>
      <c r="L17" s="25" t="s">
        <v>19</v>
      </c>
      <c r="M17" s="21">
        <v>7.0000000000000007E-2</v>
      </c>
      <c r="N17" s="52">
        <f>ROUNDUP(((D9/1000)*M17)/7*E17,0)</f>
        <v>1</v>
      </c>
      <c r="O17" s="23">
        <v>0.105</v>
      </c>
      <c r="P17" s="53">
        <f>ROUNDUP(((D10/1000)*O17)/7*E17,0)</f>
        <v>1</v>
      </c>
      <c r="Q17" s="23">
        <v>0.17499999999999999</v>
      </c>
      <c r="R17" s="54">
        <f>ROUNDUP(((D11/1000)*Q17)/7*E17,0)</f>
        <v>1</v>
      </c>
      <c r="S17" s="77">
        <f>Betriebe!L22</f>
        <v>0</v>
      </c>
      <c r="T17" s="55">
        <f>IF(Betriebe!AF8="",0,Betriebe!AF8)</f>
        <v>0</v>
      </c>
      <c r="U17" s="75">
        <f t="shared" si="0"/>
        <v>3</v>
      </c>
      <c r="V17" s="76">
        <v>1</v>
      </c>
      <c r="Y17" s="26"/>
      <c r="Z17" s="50"/>
    </row>
    <row r="18" spans="2:26" s="19" customFormat="1" ht="15" customHeight="1" x14ac:dyDescent="0.25">
      <c r="L18" s="22" t="s">
        <v>18</v>
      </c>
      <c r="M18" s="21">
        <v>1.4</v>
      </c>
      <c r="N18" s="52">
        <f>ROUNDUP(((D9/1000)*M18)/7*E17,0)</f>
        <v>14</v>
      </c>
      <c r="O18" s="23">
        <v>2.8</v>
      </c>
      <c r="P18" s="53">
        <f>ROUNDUP(((D10/1000)*O18)/7*E17,0)</f>
        <v>9</v>
      </c>
      <c r="Q18" s="23">
        <v>2.8</v>
      </c>
      <c r="R18" s="54">
        <f>ROUNDUP(((D11/1000)*Q18)/7*E17,0)</f>
        <v>5</v>
      </c>
      <c r="S18" s="77">
        <f>Betriebe!M22</f>
        <v>0</v>
      </c>
      <c r="T18" s="55">
        <f>IF(Betriebe!AF12="",0,Betriebe!AF12)</f>
        <v>0</v>
      </c>
      <c r="U18" s="75">
        <f t="shared" si="0"/>
        <v>28</v>
      </c>
      <c r="V18" s="76">
        <v>2</v>
      </c>
      <c r="Y18" s="26"/>
      <c r="Z18" s="50"/>
    </row>
    <row r="19" spans="2:26" s="19" customFormat="1" ht="15" customHeight="1" x14ac:dyDescent="0.25">
      <c r="B19" s="126" t="s">
        <v>96</v>
      </c>
      <c r="C19" s="127"/>
      <c r="D19" s="127"/>
      <c r="E19" s="127"/>
      <c r="F19" s="127"/>
      <c r="G19" s="127"/>
      <c r="H19" s="128"/>
      <c r="L19" s="24" t="s">
        <v>17</v>
      </c>
      <c r="M19" s="21">
        <v>1.75</v>
      </c>
      <c r="N19" s="52">
        <f>ROUNDUP(((D9/1000)*M19)/7*E17,0)</f>
        <v>18</v>
      </c>
      <c r="O19" s="23">
        <v>8.75</v>
      </c>
      <c r="P19" s="53">
        <f>ROUNDUP(((D10/1000)*O19)/7*E17,0)</f>
        <v>27</v>
      </c>
      <c r="Q19" s="23">
        <v>17.5</v>
      </c>
      <c r="R19" s="54">
        <f>ROUNDUP(((D11/1000)*Q19)/7*E17,0)</f>
        <v>27</v>
      </c>
      <c r="S19" s="55">
        <f>Betriebe!N22</f>
        <v>0</v>
      </c>
      <c r="T19" s="55">
        <f>IF(Betriebe!AF9="",0,Betriebe!AF9)</f>
        <v>0</v>
      </c>
      <c r="U19" s="44">
        <f t="shared" si="0"/>
        <v>72</v>
      </c>
      <c r="V19" s="25">
        <v>6</v>
      </c>
      <c r="Y19" s="26"/>
      <c r="Z19" s="50"/>
    </row>
    <row r="20" spans="2:26" s="19" customFormat="1" ht="15" customHeight="1" x14ac:dyDescent="0.25">
      <c r="B20" s="129"/>
      <c r="C20" s="130"/>
      <c r="D20" s="130"/>
      <c r="E20" s="130"/>
      <c r="F20" s="130"/>
      <c r="G20" s="130"/>
      <c r="H20" s="131"/>
      <c r="L20" s="24" t="s">
        <v>16</v>
      </c>
      <c r="M20" s="21">
        <v>4.2</v>
      </c>
      <c r="N20" s="52">
        <f>ROUNDUP(((D9/1000)*M20)/7*E17,0)</f>
        <v>42</v>
      </c>
      <c r="O20" s="23">
        <v>6.3</v>
      </c>
      <c r="P20" s="53">
        <f>ROUNDUP(((D10/1000)*O20)/7*E17,0)</f>
        <v>19</v>
      </c>
      <c r="Q20" s="23">
        <v>10.5</v>
      </c>
      <c r="R20" s="54">
        <f>ROUNDUP(((D11/1000)*Q20)/7*E17,0)</f>
        <v>16</v>
      </c>
      <c r="S20" s="55">
        <f>Betriebe!O22</f>
        <v>0</v>
      </c>
      <c r="T20" s="55">
        <f>IF(Betriebe!AF15="",0,Betriebe!AF15)</f>
        <v>0</v>
      </c>
      <c r="U20" s="44">
        <f t="shared" si="0"/>
        <v>77</v>
      </c>
      <c r="V20" s="25">
        <v>6</v>
      </c>
      <c r="Y20" s="26"/>
      <c r="Z20" s="50"/>
    </row>
    <row r="21" spans="2:26" s="19" customFormat="1" ht="15" customHeight="1" x14ac:dyDescent="0.25">
      <c r="B21" s="132"/>
      <c r="C21" s="133"/>
      <c r="D21" s="133"/>
      <c r="E21" s="133"/>
      <c r="F21" s="133"/>
      <c r="G21" s="133"/>
      <c r="H21" s="134"/>
      <c r="L21" s="24" t="s">
        <v>15</v>
      </c>
      <c r="M21" s="21">
        <v>1.75</v>
      </c>
      <c r="N21" s="52">
        <f>ROUNDUP(((D9/1000)*M21)/7*E17,0)</f>
        <v>18</v>
      </c>
      <c r="O21" s="23">
        <v>12.25</v>
      </c>
      <c r="P21" s="53">
        <f>ROUNDUP(((D10/1000)*O21)/7*E17,0)</f>
        <v>37</v>
      </c>
      <c r="Q21" s="23">
        <v>15.4</v>
      </c>
      <c r="R21" s="54">
        <f>ROUNDUP(((D11/1000)*Q21)/7*E17,0)</f>
        <v>24</v>
      </c>
      <c r="S21" s="55">
        <f>Betriebe!P22</f>
        <v>0</v>
      </c>
      <c r="T21" s="55">
        <f>IF(Betriebe!AH16="",0,Betriebe!AH16)</f>
        <v>0</v>
      </c>
      <c r="U21" s="44">
        <f t="shared" si="0"/>
        <v>79</v>
      </c>
      <c r="V21" s="25">
        <v>9</v>
      </c>
      <c r="Y21" s="26"/>
      <c r="Z21" s="50"/>
    </row>
    <row r="22" spans="2:26" s="19" customFormat="1" ht="15" customHeight="1" x14ac:dyDescent="0.25">
      <c r="B22" s="63" t="s">
        <v>74</v>
      </c>
      <c r="H22" s="29"/>
      <c r="L22" s="25" t="s">
        <v>14</v>
      </c>
      <c r="M22" s="21"/>
      <c r="N22" s="52">
        <f>ROUNDUP(((D9/1000)*M22)/7*E17,0)</f>
        <v>0</v>
      </c>
      <c r="O22" s="23"/>
      <c r="P22" s="53">
        <f>ROUNDUP(((D10/1000)*O22)/7*E17,0)</f>
        <v>0</v>
      </c>
      <c r="Q22" s="23"/>
      <c r="R22" s="54">
        <f>ROUNDUP(((D11/1000)*Q22)/7*E17,0)</f>
        <v>0</v>
      </c>
      <c r="S22" s="55">
        <f>Betriebe!Q22</f>
        <v>0</v>
      </c>
      <c r="T22" s="55">
        <f>IF(Betriebe!AF11="",0,Betriebe!AF11)</f>
        <v>0</v>
      </c>
      <c r="U22" s="44">
        <f t="shared" si="0"/>
        <v>0</v>
      </c>
      <c r="V22" s="25"/>
      <c r="Y22" s="26"/>
      <c r="Z22" s="50"/>
    </row>
    <row r="23" spans="2:26" s="19" customFormat="1" ht="15" customHeight="1" x14ac:dyDescent="0.25">
      <c r="H23" s="33"/>
      <c r="L23" s="24" t="s">
        <v>13</v>
      </c>
      <c r="M23" s="21">
        <v>0.35</v>
      </c>
      <c r="N23" s="52">
        <f>ROUNDUP(((D9/1000)*M23)/7*E17,0)</f>
        <v>4</v>
      </c>
      <c r="O23" s="23">
        <v>0.35</v>
      </c>
      <c r="P23" s="53">
        <f>ROUNDUP(((D10/1000)*O23)/7*E17,0)</f>
        <v>2</v>
      </c>
      <c r="Q23" s="23">
        <v>0.35</v>
      </c>
      <c r="R23" s="54">
        <f>ROUNDUP(((D11/1000)*Q23)/7*E17,0)</f>
        <v>1</v>
      </c>
      <c r="S23" s="55">
        <f>Betriebe!R22</f>
        <v>0</v>
      </c>
      <c r="T23" s="55">
        <f>IF(Betriebe!AF14="",0,Betriebe!AF14)</f>
        <v>0</v>
      </c>
      <c r="U23" s="44">
        <f t="shared" si="0"/>
        <v>7</v>
      </c>
      <c r="V23" s="25">
        <v>3</v>
      </c>
      <c r="Y23" s="26"/>
      <c r="Z23" s="50"/>
    </row>
    <row r="24" spans="2:26" s="19" customFormat="1" ht="15" customHeight="1" x14ac:dyDescent="0.25">
      <c r="G24" s="108" t="s">
        <v>3</v>
      </c>
      <c r="H24" s="113" t="s">
        <v>70</v>
      </c>
      <c r="I24" s="113"/>
      <c r="L24" s="24" t="s">
        <v>12</v>
      </c>
      <c r="M24" s="21">
        <v>3.5</v>
      </c>
      <c r="N24" s="52">
        <f>ROUNDUP(((D9/1000)*M24)/7*E17,0)</f>
        <v>35</v>
      </c>
      <c r="O24" s="23">
        <v>12.25</v>
      </c>
      <c r="P24" s="53">
        <f>ROUNDUP(((D10/1000)*O24)/7*E17,0)</f>
        <v>37</v>
      </c>
      <c r="Q24" s="23">
        <v>17.5</v>
      </c>
      <c r="R24" s="54">
        <f>ROUNDUP(((D11/1000)*Q24)/7*E17,0)</f>
        <v>27</v>
      </c>
      <c r="S24" s="55">
        <f>Betriebe!S22</f>
        <v>0</v>
      </c>
      <c r="T24" s="55">
        <f>IF(Betriebe!AH5="",0,Betriebe!AH5)</f>
        <v>0</v>
      </c>
      <c r="U24" s="44">
        <f t="shared" si="0"/>
        <v>99</v>
      </c>
      <c r="V24" s="25">
        <v>8</v>
      </c>
      <c r="Y24" s="26"/>
      <c r="Z24" s="50"/>
    </row>
    <row r="25" spans="2:26" s="19" customFormat="1" ht="15" customHeight="1" x14ac:dyDescent="0.25">
      <c r="G25" s="109"/>
      <c r="H25" s="113"/>
      <c r="I25" s="113"/>
      <c r="L25" s="41" t="s">
        <v>11</v>
      </c>
      <c r="M25" s="21">
        <v>5.25</v>
      </c>
      <c r="N25" s="52">
        <f>ROUNDUP(((D9/1000)*M25)/7*E17,0)</f>
        <v>53</v>
      </c>
      <c r="O25" s="23">
        <v>12.25</v>
      </c>
      <c r="P25" s="53">
        <f>ROUNDUP(((D10/1000)*O25)/7*E17,0)</f>
        <v>37</v>
      </c>
      <c r="Q25" s="23">
        <v>17.5</v>
      </c>
      <c r="R25" s="54">
        <f>ROUNDUP(((D11/1000)*Q25)/7*E17,0)</f>
        <v>27</v>
      </c>
      <c r="S25" s="55">
        <f>Betriebe!T22</f>
        <v>0</v>
      </c>
      <c r="T25" s="55">
        <f>IF(Betriebe!AF17="",0,Betriebe!AF17)</f>
        <v>0</v>
      </c>
      <c r="U25" s="44">
        <f t="shared" si="0"/>
        <v>117</v>
      </c>
      <c r="V25" s="25">
        <v>9</v>
      </c>
      <c r="Y25" s="26"/>
      <c r="Z25" s="50"/>
    </row>
    <row r="26" spans="2:26" s="19" customFormat="1" ht="15" customHeight="1" x14ac:dyDescent="0.25">
      <c r="E26" s="137" t="s">
        <v>2</v>
      </c>
      <c r="F26" s="137"/>
      <c r="G26" s="138">
        <v>320</v>
      </c>
      <c r="H26" s="139">
        <f>ROUNDUP(IF($U$32&gt;$U$37,($U$32/(G26/10)),$U$37/(G26/10)),0)</f>
        <v>12</v>
      </c>
      <c r="I26" s="139"/>
      <c r="L26" s="41" t="s">
        <v>10</v>
      </c>
      <c r="M26" s="21">
        <v>0</v>
      </c>
      <c r="N26" s="52">
        <f>ROUNDUP(((D9/1000)*M26)/7*E17,0)</f>
        <v>0</v>
      </c>
      <c r="O26" s="23">
        <v>13.3</v>
      </c>
      <c r="P26" s="53">
        <f>ROUNDUP(((D10/1000)*O26)/7*E17,0)</f>
        <v>40</v>
      </c>
      <c r="Q26" s="23">
        <v>52.5</v>
      </c>
      <c r="R26" s="54">
        <f>ROUNDUP(((D11/1000)*Q26)/7*E17,0)</f>
        <v>79</v>
      </c>
      <c r="S26" s="55">
        <f>Betriebe!U22</f>
        <v>0</v>
      </c>
      <c r="T26" s="55">
        <f>IF(Betriebe!AF18="",0,Betriebe!AF18)</f>
        <v>0</v>
      </c>
      <c r="U26" s="44">
        <f t="shared" si="0"/>
        <v>119</v>
      </c>
      <c r="V26" s="25">
        <v>11</v>
      </c>
      <c r="Y26" s="26"/>
      <c r="Z26" s="50"/>
    </row>
    <row r="27" spans="2:26" s="19" customFormat="1" ht="15" customHeight="1" x14ac:dyDescent="0.25">
      <c r="E27" s="137" t="s">
        <v>1</v>
      </c>
      <c r="F27" s="137"/>
      <c r="G27" s="138">
        <v>500</v>
      </c>
      <c r="H27" s="139">
        <f>ROUNDUP(IF($U$32&gt;$U$37,($U$32/(G27/10)),$U$37/(G27/10)),0)</f>
        <v>8</v>
      </c>
      <c r="I27" s="139"/>
      <c r="L27" s="24" t="s">
        <v>9</v>
      </c>
      <c r="M27" s="21">
        <v>7</v>
      </c>
      <c r="N27" s="52">
        <f>ROUNDUP(((D9/1000)*M27)/7*E17,0)</f>
        <v>70</v>
      </c>
      <c r="O27" s="23">
        <v>1.4</v>
      </c>
      <c r="P27" s="53">
        <f>ROUNDUP(((D10/1000)*O27)/7*E17,0)</f>
        <v>5</v>
      </c>
      <c r="Q27" s="23">
        <v>0.35</v>
      </c>
      <c r="R27" s="54">
        <f>ROUNDUP(((D11/1000)*Q27)/7*E17,0)</f>
        <v>1</v>
      </c>
      <c r="S27" s="77">
        <f>Betriebe!V22</f>
        <v>0</v>
      </c>
      <c r="T27" s="55">
        <f>IF(Betriebe!AF13="",0,Betriebe!AF13)</f>
        <v>0</v>
      </c>
      <c r="U27" s="75">
        <f t="shared" si="0"/>
        <v>76</v>
      </c>
      <c r="V27" s="76">
        <v>1</v>
      </c>
      <c r="Y27" s="26"/>
      <c r="Z27" s="50"/>
    </row>
    <row r="28" spans="2:26" s="19" customFormat="1" ht="15" customHeight="1" x14ac:dyDescent="0.25">
      <c r="E28" s="137" t="s">
        <v>0</v>
      </c>
      <c r="F28" s="137"/>
      <c r="G28" s="138">
        <v>700</v>
      </c>
      <c r="H28" s="139">
        <f>ROUNDUP(IF($U$32&gt;$U$37,($U$32/(G28/10)),$U$37/(G28/10)),0)</f>
        <v>6</v>
      </c>
      <c r="I28" s="139"/>
      <c r="L28" s="25" t="s">
        <v>8</v>
      </c>
      <c r="M28" s="21">
        <v>0</v>
      </c>
      <c r="N28" s="52">
        <f>ROUNDUP(((D9/1000)*M28)/7*E17,0)</f>
        <v>0</v>
      </c>
      <c r="O28" s="23">
        <v>3.5000000000000003E-2</v>
      </c>
      <c r="P28" s="53">
        <f>ROUNDUP(((D10/1000)*O28)/7*E17,0)</f>
        <v>1</v>
      </c>
      <c r="Q28" s="23">
        <v>3.5000000000000003E-2</v>
      </c>
      <c r="R28" s="54">
        <f>ROUNDUP(((D11/1000)*Q28)/7*E17,0)</f>
        <v>1</v>
      </c>
      <c r="S28" s="90">
        <f>Betriebe!W22</f>
        <v>0</v>
      </c>
      <c r="T28" s="55">
        <f>IF(Betriebe!AF20="",0,Betriebe!AF20)</f>
        <v>0</v>
      </c>
      <c r="U28" s="75">
        <f t="shared" si="0"/>
        <v>2</v>
      </c>
      <c r="V28" s="92"/>
      <c r="Y28" s="26"/>
      <c r="Z28" s="50"/>
    </row>
    <row r="29" spans="2:26" s="19" customFormat="1" ht="15" customHeight="1" x14ac:dyDescent="0.2">
      <c r="S29" s="91"/>
      <c r="V29" s="93"/>
    </row>
    <row r="30" spans="2:26" s="19" customFormat="1" ht="15" customHeight="1" x14ac:dyDescent="0.25">
      <c r="R30" s="26"/>
      <c r="S30" s="26"/>
      <c r="U30" s="79">
        <f>SUM(IF(U10&gt;0,U10,),IF(U13&gt;0,U13,),IF(U14&gt;0,U14,),IF(U15&gt;0,U15,),IF(U17&gt;0,U17,),IF(U18&gt;0,U18,),IF(U27&gt;0,U27,),IF(U28&gt;0,U28,))</f>
        <v>248</v>
      </c>
      <c r="V30" s="35" t="s">
        <v>5</v>
      </c>
    </row>
    <row r="31" spans="2:26" s="19" customFormat="1" ht="15" customHeight="1" thickBot="1" x14ac:dyDescent="0.3">
      <c r="R31" s="26"/>
      <c r="S31" s="78"/>
      <c r="T31" s="30"/>
      <c r="U31" s="45">
        <f>SUM(IF(U9&gt;0,U9,),IF(U11&gt;0,U11,),IF(U12&gt;0,U12,),IF(U16&gt;0,U16,),IF(U19&gt;0,U19,),IF(U20&gt;0,U20,),IF(U21&gt;0,U21,),IF(U22&gt;0,U22,),IF(U23&gt;0,U23,),IF(U24&gt;0,U24,),IF(U25&gt;0,U25,),IF(U26&gt;0,U26,))</f>
        <v>1267</v>
      </c>
      <c r="V31" s="36" t="s">
        <v>7</v>
      </c>
    </row>
    <row r="32" spans="2:26" s="81" customFormat="1" ht="21" customHeight="1" thickTop="1" x14ac:dyDescent="0.2">
      <c r="R32" s="82"/>
      <c r="S32" s="101" t="s">
        <v>77</v>
      </c>
      <c r="T32" s="102"/>
      <c r="U32" s="83">
        <f>U30+(U31/10)</f>
        <v>374.7</v>
      </c>
      <c r="V32" s="83" t="s">
        <v>5</v>
      </c>
    </row>
    <row r="33" spans="4:24" s="19" customFormat="1" ht="15" customHeight="1" x14ac:dyDescent="0.2">
      <c r="D33" s="26"/>
      <c r="O33" s="31"/>
      <c r="R33" s="31"/>
    </row>
    <row r="34" spans="4:24" s="19" customFormat="1" ht="15" customHeight="1" x14ac:dyDescent="0.2">
      <c r="U34" s="32" t="s">
        <v>78</v>
      </c>
    </row>
    <row r="35" spans="4:24" s="19" customFormat="1" ht="15" customHeight="1" x14ac:dyDescent="0.2">
      <c r="U35" s="19">
        <f>SUM(IF(U10&lt;0,U10,),IF(U13&lt;0,U13,),IF(U14&lt;0,U14,),IF(U15&lt;0,U15,),IF(U17&lt;0,U17,),IF(U18&lt;0,U18,),IF(U27&lt;0,U27,),IF(U28&lt;0,U28,))*(-1)</f>
        <v>0</v>
      </c>
      <c r="V35" s="19" t="s">
        <v>5</v>
      </c>
    </row>
    <row r="36" spans="4:24" s="19" customFormat="1" ht="15" customHeight="1" x14ac:dyDescent="0.2">
      <c r="U36" s="19">
        <f>SUM(IF(U9&lt;0,U9,),IF(U11&lt;0,U11,),IF(U12&lt;0,U12,),IF(U16&lt;0,U16,),IF(U19&lt;0,U19,),IF(U20&lt;0,U20,),IF(U21&lt;0,U21,),IF(U22&lt;0,U22,),IF(U23&lt;0,U23,),IF(U24&lt;0,U24,),IF(U25&lt;0,U25,),IF(U26&lt;0,U26,))*(-1)</f>
        <v>0</v>
      </c>
      <c r="V36" s="19" t="s">
        <v>7</v>
      </c>
    </row>
    <row r="37" spans="4:24" s="19" customFormat="1" ht="15" customHeight="1" x14ac:dyDescent="0.2">
      <c r="S37" s="26"/>
      <c r="T37" s="80" t="s">
        <v>79</v>
      </c>
      <c r="U37" s="80">
        <f>U35+(U36/10)</f>
        <v>0</v>
      </c>
      <c r="V37" s="84" t="s">
        <v>5</v>
      </c>
      <c r="W37" s="26"/>
      <c r="X37" s="26"/>
    </row>
    <row r="38" spans="4:24" s="19" customFormat="1" ht="15" customHeight="1" x14ac:dyDescent="0.2">
      <c r="S38" s="26"/>
      <c r="T38" s="26"/>
      <c r="U38" s="68"/>
      <c r="V38" s="26"/>
      <c r="W38" s="26"/>
      <c r="X38" s="26"/>
    </row>
    <row r="39" spans="4:24" s="19" customFormat="1" ht="15" customHeight="1" x14ac:dyDescent="0.25">
      <c r="S39" s="26"/>
      <c r="T39" s="26"/>
      <c r="U39" s="85"/>
      <c r="V39" s="26"/>
      <c r="W39" s="26"/>
      <c r="X39" s="26"/>
    </row>
    <row r="40" spans="4:24" s="19" customFormat="1" ht="15" customHeight="1" x14ac:dyDescent="0.25">
      <c r="S40" s="26"/>
      <c r="T40" s="26"/>
      <c r="U40" s="86"/>
      <c r="V40" s="26"/>
      <c r="W40" s="26"/>
      <c r="X40" s="26"/>
    </row>
    <row r="41" spans="4:24" x14ac:dyDescent="0.25">
      <c r="S41" s="87"/>
      <c r="T41" s="26"/>
      <c r="U41" s="88"/>
      <c r="V41" s="87"/>
      <c r="W41" s="87"/>
      <c r="X41" s="87"/>
    </row>
    <row r="42" spans="4:24" x14ac:dyDescent="0.25">
      <c r="S42" s="87"/>
      <c r="T42" s="89"/>
      <c r="U42" s="88"/>
      <c r="V42" s="87"/>
      <c r="W42" s="87"/>
      <c r="X42" s="87"/>
    </row>
    <row r="43" spans="4:24" x14ac:dyDescent="0.25">
      <c r="S43" s="26"/>
      <c r="T43" s="87"/>
      <c r="U43" s="85"/>
      <c r="V43" s="87"/>
      <c r="W43" s="87"/>
      <c r="X43" s="87"/>
    </row>
    <row r="44" spans="4:24" x14ac:dyDescent="0.25">
      <c r="S44" s="26"/>
      <c r="T44" s="87"/>
      <c r="U44" s="85"/>
      <c r="V44" s="87"/>
      <c r="W44" s="87"/>
      <c r="X44" s="87"/>
    </row>
    <row r="45" spans="4:24" x14ac:dyDescent="0.25">
      <c r="S45" s="26"/>
      <c r="T45" s="87"/>
      <c r="U45" s="85"/>
      <c r="V45" s="87"/>
      <c r="W45" s="87"/>
      <c r="X45" s="87"/>
    </row>
    <row r="46" spans="4:24" x14ac:dyDescent="0.25">
      <c r="S46" s="26"/>
      <c r="T46" s="87"/>
      <c r="U46" s="85"/>
      <c r="V46" s="87"/>
      <c r="W46" s="87"/>
      <c r="X46" s="87"/>
    </row>
    <row r="47" spans="4:24" x14ac:dyDescent="0.25">
      <c r="S47" s="19"/>
    </row>
    <row r="58" spans="19:20" x14ac:dyDescent="0.25">
      <c r="S58" s="4"/>
      <c r="T58" s="4"/>
    </row>
  </sheetData>
  <sheetProtection password="C721" sheet="1" objects="1" scenarios="1" formatCells="0"/>
  <mergeCells count="17">
    <mergeCell ref="C8:D8"/>
    <mergeCell ref="S32:T32"/>
    <mergeCell ref="V7:V8"/>
    <mergeCell ref="S7:T7"/>
    <mergeCell ref="B19:H21"/>
    <mergeCell ref="C6:G6"/>
    <mergeCell ref="G24:G25"/>
    <mergeCell ref="U7:U8"/>
    <mergeCell ref="E26:F26"/>
    <mergeCell ref="E27:F27"/>
    <mergeCell ref="E28:F28"/>
    <mergeCell ref="G8:H8"/>
    <mergeCell ref="M7:R8"/>
    <mergeCell ref="H24:I25"/>
    <mergeCell ref="H26:I26"/>
    <mergeCell ref="H27:I27"/>
    <mergeCell ref="H28:I28"/>
  </mergeCells>
  <hyperlinks>
    <hyperlink ref="S7" location="Betriebe!A1" display="Zusatz Betriebe"/>
    <hyperlink ref="B4" r:id="rId1"/>
    <hyperlink ref="B22" location="Betriebe!AA3:AA20" display=" -&gt;Zusatz"/>
    <hyperlink ref="S7:T7" location="Betriebe!A1" display="Zusatz Betriebe"/>
  </hyperlinks>
  <pageMargins left="0.7" right="0.7" top="0.78740157499999996" bottom="0.78740157499999996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AN35"/>
  <sheetViews>
    <sheetView showGridLines="0" zoomScaleNormal="100" workbookViewId="0">
      <selection activeCell="C3" sqref="C3"/>
    </sheetView>
  </sheetViews>
  <sheetFormatPr baseColWidth="10" defaultRowHeight="12.75" x14ac:dyDescent="0.2"/>
  <cols>
    <col min="1" max="1" width="15.140625" style="3" customWidth="1"/>
    <col min="2" max="2" width="7.85546875" style="3" customWidth="1"/>
    <col min="3" max="3" width="5.7109375" style="3" customWidth="1"/>
    <col min="4" max="23" width="3.7109375" style="3" customWidth="1"/>
    <col min="24" max="24" width="1.85546875" style="59" customWidth="1"/>
    <col min="25" max="25" width="8.140625" style="3" bestFit="1" customWidth="1"/>
    <col min="26" max="26" width="9.140625" customWidth="1"/>
    <col min="27" max="27" width="8" style="3" hidden="1" customWidth="1"/>
    <col min="28" max="28" width="6.5703125" style="3" hidden="1" customWidth="1"/>
    <col min="29" max="29" width="7" style="3" hidden="1" customWidth="1"/>
    <col min="30" max="31" width="11.42578125" style="3" hidden="1" customWidth="1"/>
    <col min="32" max="32" width="4.7109375" style="3" customWidth="1"/>
    <col min="33" max="33" width="5.5703125" style="3" customWidth="1"/>
    <col min="34" max="34" width="3.85546875" style="3" customWidth="1"/>
    <col min="35" max="16384" width="11.42578125" style="3"/>
  </cols>
  <sheetData>
    <row r="1" spans="1:34" x14ac:dyDescent="0.2">
      <c r="A1" s="60"/>
      <c r="B1" s="60"/>
      <c r="D1" s="143" t="s">
        <v>97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3"/>
      <c r="Y1" s="122"/>
      <c r="Z1" s="124"/>
    </row>
    <row r="2" spans="1:34" s="15" customFormat="1" ht="66" customHeight="1" x14ac:dyDescent="0.2">
      <c r="A2" s="10"/>
      <c r="B2" s="11" t="s">
        <v>80</v>
      </c>
      <c r="C2" s="11" t="s">
        <v>60</v>
      </c>
      <c r="D2" s="12" t="s">
        <v>27</v>
      </c>
      <c r="E2" s="13" t="s">
        <v>26</v>
      </c>
      <c r="F2" s="43" t="s">
        <v>25</v>
      </c>
      <c r="G2" s="43" t="s">
        <v>24</v>
      </c>
      <c r="H2" s="12" t="s">
        <v>23</v>
      </c>
      <c r="I2" s="43" t="s">
        <v>22</v>
      </c>
      <c r="J2" s="12" t="s">
        <v>21</v>
      </c>
      <c r="K2" s="43" t="s">
        <v>20</v>
      </c>
      <c r="L2" s="13" t="s">
        <v>19</v>
      </c>
      <c r="M2" s="12" t="s">
        <v>18</v>
      </c>
      <c r="N2" s="14" t="s">
        <v>17</v>
      </c>
      <c r="O2" s="14" t="s">
        <v>16</v>
      </c>
      <c r="P2" s="14" t="s">
        <v>15</v>
      </c>
      <c r="Q2" s="13" t="s">
        <v>14</v>
      </c>
      <c r="R2" s="14" t="s">
        <v>13</v>
      </c>
      <c r="S2" s="14" t="s">
        <v>12</v>
      </c>
      <c r="T2" s="43" t="s">
        <v>11</v>
      </c>
      <c r="U2" s="43" t="s">
        <v>10</v>
      </c>
      <c r="V2" s="14" t="s">
        <v>9</v>
      </c>
      <c r="W2" s="13" t="s">
        <v>8</v>
      </c>
      <c r="X2" s="70"/>
      <c r="Y2" s="125" t="s">
        <v>76</v>
      </c>
      <c r="Z2" s="114" t="s">
        <v>95</v>
      </c>
      <c r="AA2" s="114"/>
      <c r="AB2" s="114"/>
      <c r="AC2" s="114"/>
      <c r="AD2" s="114"/>
      <c r="AE2" s="114"/>
      <c r="AF2" s="114"/>
      <c r="AG2" s="114" t="s">
        <v>92</v>
      </c>
      <c r="AH2" s="114"/>
    </row>
    <row r="3" spans="1:34" ht="18" customHeight="1" x14ac:dyDescent="0.25">
      <c r="A3" s="7" t="s">
        <v>43</v>
      </c>
      <c r="B3" s="97">
        <v>1</v>
      </c>
      <c r="C3" s="16"/>
      <c r="D3" s="17"/>
      <c r="E3" s="18"/>
      <c r="F3" s="18"/>
      <c r="G3" s="18"/>
      <c r="H3" s="18"/>
      <c r="I3" s="18"/>
      <c r="J3" s="18">
        <v>1.2</v>
      </c>
      <c r="K3" s="18"/>
      <c r="L3" s="18"/>
      <c r="M3" s="18">
        <v>0.5</v>
      </c>
      <c r="N3" s="18"/>
      <c r="O3" s="18"/>
      <c r="P3" s="18"/>
      <c r="Q3" s="18"/>
      <c r="R3" s="18"/>
      <c r="S3" s="18"/>
      <c r="T3" s="18"/>
      <c r="U3" s="18"/>
      <c r="V3" s="18"/>
      <c r="W3" s="69"/>
      <c r="X3" s="74"/>
      <c r="Y3" s="73">
        <v>49</v>
      </c>
      <c r="Z3" s="100" t="s">
        <v>27</v>
      </c>
      <c r="AA3" s="115"/>
      <c r="AB3" s="115"/>
      <c r="AC3" s="115"/>
      <c r="AD3" s="115"/>
      <c r="AE3" s="115"/>
      <c r="AF3" s="116" t="str">
        <f>IF($C3="","",IF(B3=1,$C3*$Y3/7*Patrizier!$E$17,IF($B3=0.75,0.75*$C3*$Y3/7*Patrizier!$E$17,($B$25/100)*$C3*$Y3/7*Patrizier!$E$17)))</f>
        <v/>
      </c>
    </row>
    <row r="4" spans="1:34" ht="18" customHeight="1" x14ac:dyDescent="0.25">
      <c r="A4" s="7" t="s">
        <v>44</v>
      </c>
      <c r="B4" s="97">
        <v>1</v>
      </c>
      <c r="C4" s="16"/>
      <c r="D4" s="1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69"/>
      <c r="X4" s="74"/>
      <c r="Y4" s="73">
        <v>3.5</v>
      </c>
      <c r="Z4" s="100" t="s">
        <v>26</v>
      </c>
      <c r="AA4" s="115" t="s">
        <v>87</v>
      </c>
      <c r="AB4" s="115" t="s">
        <v>88</v>
      </c>
      <c r="AC4" s="115" t="s">
        <v>84</v>
      </c>
      <c r="AD4" s="115" t="s">
        <v>85</v>
      </c>
      <c r="AE4" s="117" t="s">
        <v>86</v>
      </c>
      <c r="AF4" s="116" t="str">
        <f>IF($C4="","",IF(B4=1,$C4*$Y4/7*Patrizier!$E$17,IF($B4=0.75,0.75*$C4*$Y4/7*Patrizier!$E$17,($B$25/100)*$C4*$Y4/7*Patrizier!$E$17)))</f>
        <v/>
      </c>
    </row>
    <row r="5" spans="1:34" ht="18" customHeight="1" x14ac:dyDescent="0.25">
      <c r="A5" s="121" t="s">
        <v>82</v>
      </c>
      <c r="B5" s="97">
        <v>1</v>
      </c>
      <c r="C5" s="16"/>
      <c r="D5" s="17"/>
      <c r="E5" s="18"/>
      <c r="F5" s="18"/>
      <c r="G5" s="18"/>
      <c r="H5" s="18"/>
      <c r="I5" s="18"/>
      <c r="J5" s="18"/>
      <c r="K5" s="18"/>
      <c r="L5" s="18">
        <f>IF(A5="Fischerhütte",0.7,0.5)</f>
        <v>0.7</v>
      </c>
      <c r="M5" s="18"/>
      <c r="N5" s="18"/>
      <c r="O5" s="18"/>
      <c r="P5" s="18"/>
      <c r="Q5" s="18"/>
      <c r="R5" s="58">
        <f>IF(A5="Fischerhütte",14,11)</f>
        <v>14</v>
      </c>
      <c r="S5" s="18"/>
      <c r="T5" s="18"/>
      <c r="U5" s="18"/>
      <c r="V5" s="18"/>
      <c r="W5" s="69"/>
      <c r="X5" s="74"/>
      <c r="Y5" s="73">
        <v>7</v>
      </c>
      <c r="Z5" s="100" t="s">
        <v>23</v>
      </c>
      <c r="AA5" s="115">
        <f>IF(AND(A5="Fischerhütte",OR(B5=100%,B5=75%)),B5*C5*Y5/7*Patrizier!$E$17,"…")</f>
        <v>0</v>
      </c>
      <c r="AB5" s="115" t="str">
        <f>IF(AND(A5="Fischerhütte",B5="Benutzerdefiniert"),(B25/100)*C5*7/7*Patrizier!$E$17,"…")</f>
        <v>…</v>
      </c>
      <c r="AC5" s="115" t="str">
        <f>IF(AND(A5="Walfang",B5=1),C5*5.2/7*Patrizier!$E$17,"…")</f>
        <v>…</v>
      </c>
      <c r="AD5" s="115" t="str">
        <f>IF(AND(A5="Walfang",B5=0.75),0.75*C5*5.2/7*Patrizier!$E$17,"…")</f>
        <v>…</v>
      </c>
      <c r="AE5" s="115" t="str">
        <f>IF(AND(A5="Walfang",B5="Benutzerdefiniert"),($B$25/100)*C5*5.2/7*Patrizier!$E$17,"…")</f>
        <v>…</v>
      </c>
      <c r="AF5" s="118" t="str">
        <f>IF(C5="","",IF(AND(A5="Fischerhütte",OR(B5=100%,B5=75%)),B5*C5*Y5/7*Patrizier!$E$17,IF(AND(A5="Fischerhütte",B5="Benutzerdefiniert"),(B25/100)*C5*7/7*Patrizier!$E$17,IF(AND(A5="Walfang",B5=1),C5*5.2/7*Patrizier!$E$17,IF(AND(A5="Walfang",B5=0.75),0.75*C5*5.2/7*Patrizier!$E$17,IF(AND(A5="Walfang",B5="Benutzerdefiniert"),($B$25/100)*C5*5.2/7*Patrizier!$E$17,"…"))))))</f>
        <v/>
      </c>
      <c r="AG5" s="119" t="s">
        <v>94</v>
      </c>
      <c r="AH5" s="116" t="str">
        <f>IF(AND(A5="Walfang",B5&lt;&gt;"Benutzerdefiniert"),B5*C5*28/7*Patrizier!$E$17,IF(AND(A5="Walfang",B5="Benutzerdefiniert"),B50*C5*28/7*Patrizier!$E$17,""))</f>
        <v/>
      </c>
    </row>
    <row r="6" spans="1:34" ht="18" hidden="1" customHeight="1" x14ac:dyDescent="0.25">
      <c r="A6" s="7" t="s">
        <v>45</v>
      </c>
      <c r="B6" s="97">
        <v>1</v>
      </c>
      <c r="C6" s="16"/>
      <c r="D6" s="17"/>
      <c r="E6" s="18"/>
      <c r="F6" s="18"/>
      <c r="G6" s="18"/>
      <c r="H6" s="18"/>
      <c r="I6" s="18"/>
      <c r="J6" s="18"/>
      <c r="K6" s="18"/>
      <c r="L6" s="18">
        <v>0.5</v>
      </c>
      <c r="M6" s="18"/>
      <c r="N6" s="18"/>
      <c r="O6" s="18"/>
      <c r="P6" s="18"/>
      <c r="Q6" s="18"/>
      <c r="R6" s="18">
        <v>10.5</v>
      </c>
      <c r="S6" s="18"/>
      <c r="T6" s="18"/>
      <c r="U6" s="18"/>
      <c r="V6" s="18"/>
      <c r="W6" s="69"/>
      <c r="X6" s="74"/>
      <c r="Y6" s="73">
        <v>5.2</v>
      </c>
      <c r="Z6" s="100" t="s">
        <v>23</v>
      </c>
      <c r="AA6" s="115" t="s">
        <v>89</v>
      </c>
      <c r="AB6" s="115"/>
      <c r="AC6" s="115"/>
      <c r="AD6" s="115"/>
      <c r="AE6" s="115"/>
      <c r="AF6" s="116"/>
    </row>
    <row r="7" spans="1:34" ht="18" customHeight="1" x14ac:dyDescent="0.25">
      <c r="A7" s="7" t="s">
        <v>46</v>
      </c>
      <c r="B7" s="97">
        <v>1</v>
      </c>
      <c r="C7" s="16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69"/>
      <c r="X7" s="74"/>
      <c r="Y7" s="73">
        <v>7</v>
      </c>
      <c r="Z7" s="100" t="s">
        <v>21</v>
      </c>
      <c r="AA7" s="115"/>
      <c r="AB7" s="115"/>
      <c r="AC7" s="115"/>
      <c r="AD7" s="115"/>
      <c r="AE7" s="115"/>
      <c r="AF7" s="116" t="str">
        <f>IF($C7="","",IF(B7=1,$C7*$Y7/7*Patrizier!$E$17,IF($B7=0.75,0.75*$C7*$Y7/7*Patrizier!$E$17,($B$25/100)*$C7*$Y7/7*Patrizier!$E$17)))</f>
        <v/>
      </c>
    </row>
    <row r="8" spans="1:34" ht="18" customHeight="1" x14ac:dyDescent="0.25">
      <c r="A8" s="7" t="s">
        <v>47</v>
      </c>
      <c r="B8" s="97">
        <v>1</v>
      </c>
      <c r="C8" s="16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69"/>
      <c r="X8" s="74"/>
      <c r="Y8" s="73">
        <v>1.75</v>
      </c>
      <c r="Z8" s="100" t="s">
        <v>19</v>
      </c>
      <c r="AA8" s="115"/>
      <c r="AB8" s="115"/>
      <c r="AC8" s="115"/>
      <c r="AD8" s="115"/>
      <c r="AE8" s="115"/>
      <c r="AF8" s="116" t="str">
        <f>IF($C8="","",IF(B8=1,$C8*$Y8/7*Patrizier!$E$17,IF($B8=0.75,0.75*$C8*$Y8/7*Patrizier!$E$17,($B$25/100)*$C8*$Y8/7*Patrizier!$E$17)))</f>
        <v/>
      </c>
    </row>
    <row r="9" spans="1:34" ht="18" customHeight="1" x14ac:dyDescent="0.25">
      <c r="A9" s="7" t="s">
        <v>48</v>
      </c>
      <c r="B9" s="97">
        <v>1</v>
      </c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69"/>
      <c r="X9" s="74"/>
      <c r="Y9" s="73">
        <v>14</v>
      </c>
      <c r="Z9" s="100" t="s">
        <v>17</v>
      </c>
      <c r="AA9" s="115"/>
      <c r="AB9" s="115"/>
      <c r="AC9" s="115"/>
      <c r="AD9" s="115"/>
      <c r="AE9" s="115"/>
      <c r="AF9" s="116" t="str">
        <f>IF($C9="","",IF(B9=1,$C9*$Y9/7*Patrizier!$E$17,IF($B9=0.75,0.75*$C9*$Y9/7*Patrizier!$E$17,($B$25/100)*$C9*$Y9/7*Patrizier!$E$17)))</f>
        <v/>
      </c>
    </row>
    <row r="10" spans="1:34" ht="18" customHeight="1" x14ac:dyDescent="0.25">
      <c r="A10" s="7" t="s">
        <v>49</v>
      </c>
      <c r="B10" s="97">
        <v>1</v>
      </c>
      <c r="C10" s="16"/>
      <c r="D10" s="17"/>
      <c r="E10" s="18"/>
      <c r="F10" s="18">
        <v>0.4</v>
      </c>
      <c r="G10" s="18"/>
      <c r="H10" s="18"/>
      <c r="I10" s="18"/>
      <c r="J10" s="18"/>
      <c r="K10" s="18"/>
      <c r="L10" s="18">
        <f>1/28</f>
        <v>3.5714285714285712E-2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69"/>
      <c r="X10" s="74"/>
      <c r="Y10" s="73">
        <v>7</v>
      </c>
      <c r="Z10" s="100" t="s">
        <v>24</v>
      </c>
      <c r="AA10" s="115"/>
      <c r="AB10" s="115"/>
      <c r="AC10" s="115"/>
      <c r="AD10" s="115"/>
      <c r="AE10" s="115"/>
      <c r="AF10" s="116" t="str">
        <f>IF($C10="","",IF(B10=1,$C10*$Y10/7*Patrizier!$E$17,IF($B10=0.75,0.75*$C10*$Y10/7*Patrizier!$E$17,($B$25/100)*$C10*$Y10/7*Patrizier!$E$17)))</f>
        <v/>
      </c>
    </row>
    <row r="11" spans="1:34" ht="18" customHeight="1" x14ac:dyDescent="0.25">
      <c r="A11" s="7" t="s">
        <v>50</v>
      </c>
      <c r="B11" s="97">
        <v>1</v>
      </c>
      <c r="C11" s="16"/>
      <c r="D11" s="17"/>
      <c r="E11" s="18"/>
      <c r="F11" s="18"/>
      <c r="G11" s="18"/>
      <c r="H11" s="18"/>
      <c r="I11" s="18"/>
      <c r="J11" s="18"/>
      <c r="K11" s="18"/>
      <c r="L11" s="18"/>
      <c r="M11" s="18">
        <v>0.7</v>
      </c>
      <c r="N11" s="18"/>
      <c r="O11" s="18"/>
      <c r="P11" s="18"/>
      <c r="Q11" s="18"/>
      <c r="R11" s="18"/>
      <c r="S11" s="18"/>
      <c r="T11" s="18"/>
      <c r="U11" s="18"/>
      <c r="V11" s="18"/>
      <c r="W11" s="69"/>
      <c r="X11" s="74"/>
      <c r="Y11" s="73">
        <v>7</v>
      </c>
      <c r="Z11" s="100" t="s">
        <v>14</v>
      </c>
      <c r="AA11" s="115"/>
      <c r="AB11" s="115"/>
      <c r="AC11" s="115"/>
      <c r="AD11" s="115"/>
      <c r="AE11" s="115"/>
      <c r="AF11" s="116" t="str">
        <f>IF($C11="","",IF(B11=1,$C11*$Y11/7*Patrizier!$E$17,IF($B11=0.75,0.75*$C11*$Y11/7*Patrizier!$E$17,($B$25/100)*$C11*$Y11/7*Patrizier!$E$17)))</f>
        <v/>
      </c>
    </row>
    <row r="12" spans="1:34" ht="18" customHeight="1" x14ac:dyDescent="0.25">
      <c r="A12" s="7" t="s">
        <v>51</v>
      </c>
      <c r="B12" s="97">
        <v>1</v>
      </c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69"/>
      <c r="X12" s="74"/>
      <c r="Y12" s="73">
        <v>14</v>
      </c>
      <c r="Z12" s="100" t="s">
        <v>18</v>
      </c>
      <c r="AA12" s="115"/>
      <c r="AB12" s="115"/>
      <c r="AC12" s="115"/>
      <c r="AD12" s="115"/>
      <c r="AE12" s="115"/>
      <c r="AF12" s="116" t="str">
        <f>IF($C12="","",IF(B12=1,$C12*$Y12/7*Patrizier!$E$17,IF($B12=0.75,0.75*$C12*$Y12/7*Patrizier!$E$17,($B$25/100)*$C12*$Y12/7*Patrizier!$E$17)))</f>
        <v/>
      </c>
    </row>
    <row r="13" spans="1:34" ht="18" customHeight="1" x14ac:dyDescent="0.25">
      <c r="A13" s="7" t="s">
        <v>52</v>
      </c>
      <c r="B13" s="97">
        <v>1</v>
      </c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69"/>
      <c r="X13" s="74"/>
      <c r="Y13" s="73">
        <v>3.5</v>
      </c>
      <c r="Z13" s="100" t="s">
        <v>9</v>
      </c>
      <c r="AA13" s="115"/>
      <c r="AB13" s="115"/>
      <c r="AC13" s="115"/>
      <c r="AD13" s="115"/>
      <c r="AE13" s="115"/>
      <c r="AF13" s="116" t="str">
        <f>IF($C13="","",IF(B13=1,$C13*$Y13/7*Patrizier!$E$17,IF($B13=0.75,0.75*$C13*$Y13/7*Patrizier!$E$17,($B$25/100)*$C13*$Y13/7*Patrizier!$E$17)))</f>
        <v/>
      </c>
    </row>
    <row r="14" spans="1:34" ht="18" customHeight="1" x14ac:dyDescent="0.25">
      <c r="A14" s="7" t="s">
        <v>53</v>
      </c>
      <c r="B14" s="97">
        <v>1</v>
      </c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>
        <v>3.5</v>
      </c>
      <c r="N14" s="18"/>
      <c r="O14" s="18"/>
      <c r="P14" s="18"/>
      <c r="Q14" s="18"/>
      <c r="R14" s="18"/>
      <c r="S14" s="18"/>
      <c r="T14" s="18"/>
      <c r="U14" s="18"/>
      <c r="V14" s="18"/>
      <c r="W14" s="69"/>
      <c r="X14" s="74"/>
      <c r="Y14" s="73">
        <v>35</v>
      </c>
      <c r="Z14" s="100" t="s">
        <v>13</v>
      </c>
      <c r="AA14" s="115"/>
      <c r="AB14" s="115"/>
      <c r="AC14" s="115"/>
      <c r="AD14" s="115"/>
      <c r="AE14" s="115"/>
      <c r="AF14" s="116" t="str">
        <f>IF($C14="","",IF(B14=1,$C14*$Y14/7*Patrizier!$E$17,IF($B14=0.75,0.75*$C14*$Y14/7*Patrizier!$E$17,($B$25/100)*$C14*$Y14/7*Patrizier!$E$17)))</f>
        <v/>
      </c>
    </row>
    <row r="15" spans="1:34" ht="18" customHeight="1" x14ac:dyDescent="0.25">
      <c r="A15" s="7" t="s">
        <v>54</v>
      </c>
      <c r="B15" s="97">
        <v>1</v>
      </c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>
        <v>1.4</v>
      </c>
      <c r="N15" s="18"/>
      <c r="O15" s="18"/>
      <c r="P15" s="18"/>
      <c r="Q15" s="18"/>
      <c r="R15" s="18"/>
      <c r="S15" s="18"/>
      <c r="T15" s="18"/>
      <c r="U15" s="18"/>
      <c r="V15" s="18"/>
      <c r="W15" s="69"/>
      <c r="X15" s="74"/>
      <c r="Y15" s="73">
        <v>14</v>
      </c>
      <c r="Z15" s="100" t="s">
        <v>16</v>
      </c>
      <c r="AA15" s="115"/>
      <c r="AB15" s="115"/>
      <c r="AC15" s="115"/>
      <c r="AD15" s="115"/>
      <c r="AE15" s="115"/>
      <c r="AF15" s="116" t="str">
        <f>IF($C15="","",IF(B15=1,$C15*$Y15/7*Patrizier!$E$17,IF($B15=0.75,0.75*$C15*$Y15/7*Patrizier!$E$17,($B$25/100)*$C15*$Y15/7*Patrizier!$E$17)))</f>
        <v/>
      </c>
    </row>
    <row r="16" spans="1:34" ht="18" customHeight="1" x14ac:dyDescent="0.25">
      <c r="A16" s="7" t="s">
        <v>55</v>
      </c>
      <c r="B16" s="97">
        <v>1</v>
      </c>
      <c r="C16" s="16"/>
      <c r="D16" s="17"/>
      <c r="E16" s="18"/>
      <c r="F16" s="18"/>
      <c r="G16" s="18"/>
      <c r="H16" s="18"/>
      <c r="I16" s="18"/>
      <c r="J16" s="18"/>
      <c r="K16" s="18"/>
      <c r="L16" s="18"/>
      <c r="M16" s="18">
        <v>0.1</v>
      </c>
      <c r="N16" s="18"/>
      <c r="O16" s="18"/>
      <c r="P16" s="18"/>
      <c r="Q16" s="18"/>
      <c r="R16" s="18">
        <v>5</v>
      </c>
      <c r="S16" s="18"/>
      <c r="T16" s="18"/>
      <c r="U16" s="18"/>
      <c r="V16" s="18"/>
      <c r="W16" s="69"/>
      <c r="X16" s="74"/>
      <c r="Y16" s="73">
        <v>1.75</v>
      </c>
      <c r="Z16" s="100" t="s">
        <v>22</v>
      </c>
      <c r="AA16" s="115"/>
      <c r="AB16" s="115"/>
      <c r="AC16" s="115"/>
      <c r="AD16" s="115"/>
      <c r="AE16" s="115"/>
      <c r="AF16" s="116" t="str">
        <f>IF($C16="","",IF(B16=1,$C16*$Y16/7*Patrizier!$E$17,IF($B16=0.75,0.75*$C16*$Y16/7*Patrizier!$E$17,($B$25/100)*$C16*$Y16/7*Patrizier!$E$17)))</f>
        <v/>
      </c>
      <c r="AG16" s="120" t="s">
        <v>93</v>
      </c>
      <c r="AH16" s="116" t="str">
        <f>IF(C16="","",IF($B$16=1,$C$16*7/7*Patrizier!$E$17,IF($B$16=0.75,0.75*$C$16*7/7*Patrizier!$E$17,($B$25/100)*$C$16*7/7*Patrizier!$E$17)))</f>
        <v/>
      </c>
    </row>
    <row r="17" spans="1:40" ht="18" customHeight="1" x14ac:dyDescent="0.25">
      <c r="A17" s="7" t="s">
        <v>56</v>
      </c>
      <c r="B17" s="97">
        <v>1</v>
      </c>
      <c r="C17" s="16"/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>
        <v>2.1</v>
      </c>
      <c r="W17" s="69"/>
      <c r="X17" s="74"/>
      <c r="Y17" s="73">
        <v>21</v>
      </c>
      <c r="Z17" s="100" t="s">
        <v>11</v>
      </c>
      <c r="AA17" s="115"/>
      <c r="AB17" s="115"/>
      <c r="AC17" s="115"/>
      <c r="AD17" s="115"/>
      <c r="AE17" s="115"/>
      <c r="AF17" s="116" t="str">
        <f>IF($C17="","",IF(B17=1,$C17*$Y17/7*Patrizier!$E$17,IF($B17=0.75,0.75*$C17*$Y17/7*Patrizier!$E$17,($B$25/100)*$C17*$Y17/7*Patrizier!$E$17)))</f>
        <v/>
      </c>
    </row>
    <row r="18" spans="1:40" ht="18" customHeight="1" x14ac:dyDescent="0.25">
      <c r="A18" s="7" t="s">
        <v>57</v>
      </c>
      <c r="B18" s="97">
        <v>1</v>
      </c>
      <c r="C18" s="16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69"/>
      <c r="X18" s="74"/>
      <c r="Y18" s="73">
        <v>14</v>
      </c>
      <c r="Z18" s="100" t="s">
        <v>10</v>
      </c>
      <c r="AA18" s="115"/>
      <c r="AB18" s="115"/>
      <c r="AC18" s="115"/>
      <c r="AD18" s="115"/>
      <c r="AE18" s="115"/>
      <c r="AF18" s="116" t="str">
        <f>IF($C18="","",IF(B18=1,$C18*$Y18/7*Patrizier!$E$17,IF($B18=0.75,0.75*$C18*$Y18/7*Patrizier!$E$17,($B$25/100)*$C18*$Y18/7*Patrizier!$E$17)))</f>
        <v/>
      </c>
    </row>
    <row r="19" spans="1:40" ht="18" customHeight="1" x14ac:dyDescent="0.25">
      <c r="A19" s="7" t="s">
        <v>58</v>
      </c>
      <c r="B19" s="97">
        <v>1</v>
      </c>
      <c r="C19" s="16"/>
      <c r="D19" s="17"/>
      <c r="E19" s="18">
        <v>2.1</v>
      </c>
      <c r="F19" s="18"/>
      <c r="G19" s="18"/>
      <c r="H19" s="18"/>
      <c r="I19" s="18"/>
      <c r="J19" s="18"/>
      <c r="K19" s="18"/>
      <c r="L19" s="18"/>
      <c r="M19" s="18">
        <v>2.1</v>
      </c>
      <c r="N19" s="18"/>
      <c r="O19" s="18"/>
      <c r="P19" s="18"/>
      <c r="Q19" s="18"/>
      <c r="R19" s="18"/>
      <c r="S19" s="18"/>
      <c r="T19" s="18"/>
      <c r="U19" s="18"/>
      <c r="V19" s="18"/>
      <c r="W19" s="69"/>
      <c r="X19" s="74"/>
      <c r="Y19" s="73">
        <v>21</v>
      </c>
      <c r="Z19" s="100" t="s">
        <v>25</v>
      </c>
      <c r="AA19" s="115"/>
      <c r="AB19" s="115"/>
      <c r="AC19" s="115"/>
      <c r="AD19" s="115"/>
      <c r="AE19" s="115"/>
      <c r="AF19" s="116" t="str">
        <f>IF($C19="","",IF(B19=1,$C19*$Y19/7*Patrizier!$E$17,IF($B19=0.75,0.75*$C19*$Y19/7*Patrizier!$E$17,($B$25/100)*$C19*$Y19/7*Patrizier!$E$17)))</f>
        <v/>
      </c>
    </row>
    <row r="20" spans="1:40" ht="18" customHeight="1" x14ac:dyDescent="0.25">
      <c r="A20" s="7" t="s">
        <v>59</v>
      </c>
      <c r="B20" s="97">
        <v>1</v>
      </c>
      <c r="C20" s="16"/>
      <c r="D20" s="17"/>
      <c r="E20" s="18"/>
      <c r="F20" s="18"/>
      <c r="G20" s="18"/>
      <c r="H20" s="18"/>
      <c r="I20" s="18"/>
      <c r="J20" s="18"/>
      <c r="K20" s="18"/>
      <c r="L20" s="18"/>
      <c r="M20" s="18">
        <v>3.5</v>
      </c>
      <c r="N20" s="18"/>
      <c r="O20" s="18"/>
      <c r="P20" s="18"/>
      <c r="Q20" s="18"/>
      <c r="R20" s="18"/>
      <c r="S20" s="18"/>
      <c r="T20" s="18"/>
      <c r="U20" s="18"/>
      <c r="V20" s="18"/>
      <c r="W20" s="69"/>
      <c r="X20" s="74"/>
      <c r="Y20" s="73">
        <v>7</v>
      </c>
      <c r="Z20" s="100" t="s">
        <v>8</v>
      </c>
      <c r="AA20" s="115"/>
      <c r="AB20" s="115"/>
      <c r="AC20" s="115"/>
      <c r="AD20" s="115"/>
      <c r="AE20" s="115"/>
      <c r="AF20" s="116" t="str">
        <f>IF($C20="","",IF(B20=1,$C20*$Y20/7*Patrizier!$E$17,IF($B20=0.75,0.75*$C20*$Y20/7*Patrizier!$E$17,($B$25/100)*$C20*$Y20/7*Patrizier!$E$17)))</f>
        <v/>
      </c>
    </row>
    <row r="21" spans="1:40" s="1" customFormat="1" ht="2.25" customHeight="1" x14ac:dyDescent="0.25">
      <c r="A21" s="95"/>
      <c r="B21" s="8"/>
      <c r="C21" s="9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71"/>
      <c r="Z21" s="68"/>
    </row>
    <row r="22" spans="1:40" s="2" customFormat="1" ht="15" customHeight="1" x14ac:dyDescent="0.25">
      <c r="A22" s="9" t="s">
        <v>6</v>
      </c>
      <c r="B22" s="9"/>
      <c r="C22" s="99">
        <f>SUM(C3:C20)</f>
        <v>0</v>
      </c>
      <c r="D22" s="6"/>
      <c r="E22" s="6">
        <f>C19*E19</f>
        <v>0</v>
      </c>
      <c r="F22" s="6">
        <f>C10*F10</f>
        <v>0</v>
      </c>
      <c r="G22" s="6"/>
      <c r="H22" s="6"/>
      <c r="I22" s="6"/>
      <c r="J22" s="6">
        <f>C3*J3</f>
        <v>0</v>
      </c>
      <c r="K22" s="6"/>
      <c r="L22" s="6">
        <f>C5*L5+C6*L6+C10*L10</f>
        <v>0</v>
      </c>
      <c r="M22" s="6">
        <f>C3*M3+C11*M11+C14*M14+C15*M15+C16*M16+C19*M19+C20*M20</f>
        <v>0</v>
      </c>
      <c r="N22" s="6"/>
      <c r="O22" s="6"/>
      <c r="P22" s="6"/>
      <c r="Q22" s="6"/>
      <c r="R22" s="6">
        <f>C5*R5+C6*R6+C16*R16</f>
        <v>0</v>
      </c>
      <c r="S22" s="6"/>
      <c r="T22" s="6"/>
      <c r="U22" s="6"/>
      <c r="V22" s="6">
        <f>C17*V17</f>
        <v>0</v>
      </c>
      <c r="W22" s="6"/>
      <c r="X22" s="72"/>
    </row>
    <row r="23" spans="1:40" ht="15.75" x14ac:dyDescent="0.25">
      <c r="A23" s="57"/>
      <c r="B23" s="57"/>
    </row>
    <row r="24" spans="1:40" ht="15.75" x14ac:dyDescent="0.25">
      <c r="A24" s="57"/>
      <c r="B24" s="57"/>
    </row>
    <row r="25" spans="1:40" ht="25.5" x14ac:dyDescent="0.2">
      <c r="A25" s="98" t="s">
        <v>91</v>
      </c>
      <c r="B25" s="16">
        <v>50</v>
      </c>
      <c r="AN25" s="3" t="str">
        <f>AH16</f>
        <v/>
      </c>
    </row>
    <row r="29" spans="1:40" hidden="1" x14ac:dyDescent="0.2">
      <c r="C29" s="94">
        <v>1</v>
      </c>
      <c r="E29" s="4"/>
    </row>
    <row r="30" spans="1:40" hidden="1" x14ac:dyDescent="0.2">
      <c r="C30" s="94">
        <v>0.75</v>
      </c>
    </row>
    <row r="31" spans="1:40" hidden="1" x14ac:dyDescent="0.2">
      <c r="C31" s="3" t="s">
        <v>81</v>
      </c>
    </row>
    <row r="32" spans="1:40" hidden="1" x14ac:dyDescent="0.2"/>
    <row r="33" spans="2:2" hidden="1" x14ac:dyDescent="0.2"/>
    <row r="34" spans="2:2" hidden="1" x14ac:dyDescent="0.2">
      <c r="B34" s="3" t="s">
        <v>82</v>
      </c>
    </row>
    <row r="35" spans="2:2" hidden="1" x14ac:dyDescent="0.2">
      <c r="B35" s="3" t="s">
        <v>83</v>
      </c>
    </row>
  </sheetData>
  <sheetProtection password="C721" sheet="1" objects="1" scenarios="1" formatCells="0"/>
  <mergeCells count="2">
    <mergeCell ref="AG2:AH2"/>
    <mergeCell ref="Z2:AF2"/>
  </mergeCells>
  <conditionalFormatting sqref="D3:W15 Y3:Y15 Y17:Y20 D17:W20">
    <cfRule type="cellIs" dxfId="1" priority="7" operator="notEqual">
      <formula>0</formula>
    </cfRule>
  </conditionalFormatting>
  <conditionalFormatting sqref="D16:W16 Y16">
    <cfRule type="cellIs" dxfId="0" priority="3" operator="notEqual">
      <formula>0</formula>
    </cfRule>
  </conditionalFormatting>
  <dataValidations count="2">
    <dataValidation type="list" allowBlank="1" showInputMessage="1" showErrorMessage="1" sqref="C29:C31 B3:B20">
      <formula1>$C$29:$C$31</formula1>
    </dataValidation>
    <dataValidation type="list" allowBlank="1" showInputMessage="1" showErrorMessage="1" sqref="A5">
      <formula1>$B$34:$B$35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Patrizier</vt:lpstr>
      <vt:lpstr>Betriebe</vt:lpstr>
    </vt:vector>
  </TitlesOfParts>
  <Company>VOLKSWAGEN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Granzow, Felix (K-SC/A2MOB3)</dc:creator>
  <cp:lastModifiedBy>Granzow, Felix (K-SC/A2MOB3)</cp:lastModifiedBy>
  <dcterms:created xsi:type="dcterms:W3CDTF">2015-10-28T09:46:04Z</dcterms:created>
  <dcterms:modified xsi:type="dcterms:W3CDTF">2015-12-04T11:23:41Z</dcterms:modified>
</cp:coreProperties>
</file>